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5025" firstSheet="1" activeTab="4"/>
  </bookViews>
  <sheets>
    <sheet name="prévision 2017" sheetId="1" r:id="rId1"/>
    <sheet name="c.administrative et fonctionnel" sheetId="2" r:id="rId2"/>
    <sheet name="C. Min par nature " sheetId="3" r:id="rId3"/>
    <sheet name="C.C par nature" sheetId="4" r:id="rId4"/>
    <sheet name="C. administrative eteconomique " sheetId="5" r:id="rId5"/>
    <sheet name="C.fonctionnelle et économique" sheetId="6" r:id="rId6"/>
    <sheet name="MODIFICATION" sheetId="7" r:id="rId7"/>
    <sheet name="MODIFICATION (2)" sheetId="8" r:id="rId8"/>
  </sheets>
  <definedNames>
    <definedName name="_xlnm._FilterDatabase" localSheetId="2" hidden="1">'C. Min par nature '!$G$4:$H$4</definedName>
    <definedName name="_xlnm._FilterDatabase" localSheetId="1" hidden="1">'c.administrative et fonctionnel'!$A$3:$H$1293</definedName>
    <definedName name="_xlnm._FilterDatabase" localSheetId="0" hidden="1">'prévision 2017'!$J$4:$L$4</definedName>
    <definedName name="_xlnm.Print_Titles" localSheetId="0">'prévision 2017'!$2:$4</definedName>
    <definedName name="_xlnm.Print_Area" localSheetId="4">'C. administrative eteconomique '!$A$6:$V$36</definedName>
    <definedName name="_xlnm.Print_Area" localSheetId="2">'C. Min par nature '!$A$1:$I$318</definedName>
    <definedName name="_xlnm.Print_Area" localSheetId="1">'c.administrative et fonctionnel'!$A$1:$H$1291</definedName>
    <definedName name="_xlnm.Print_Area" localSheetId="3">'C.C par nature'!$A$2:$G$87</definedName>
    <definedName name="_xlnm.Print_Area" localSheetId="0">'prévision 2017'!$A$3:$L$1307</definedName>
  </definedNames>
  <calcPr fullCalcOnLoad="1"/>
</workbook>
</file>

<file path=xl/comments1.xml><?xml version="1.0" encoding="utf-8"?>
<comments xmlns="http://schemas.openxmlformats.org/spreadsheetml/2006/main">
  <authors>
    <author>acer</author>
    <author>ha</author>
    <author>HP6930P</author>
    <author/>
    <author>Win 7</author>
    <author>TIDJARA SAADI</author>
    <author>HP</author>
    <author>Synthese</author>
  </authors>
  <commentList>
    <comment ref="G65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 
à raison de 7 000 000 par mois qui est la moyen entre oct et nov</t>
        </r>
      </text>
    </comment>
    <comment ref="G69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 
c'est leur prévision</t>
        </r>
      </text>
    </comment>
    <comment ref="G102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c'est leur prévision</t>
        </r>
      </text>
    </comment>
    <comment ref="G129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10000000 de plus</t>
        </r>
      </text>
    </comment>
    <comment ref="G128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c'est moins 8%</t>
        </r>
      </text>
    </comment>
    <comment ref="G8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à verrifier sur les documents des prévisions l'exécution et la prévision.</t>
        </r>
      </text>
    </comment>
    <comment ref="G121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rajout de 1 175 000 de reception;
rajout de 9 000 000</t>
        </r>
      </text>
    </comment>
    <comment ref="G40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rajout de 11 140 000/initial</t>
        </r>
      </text>
    </comment>
    <comment ref="H27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de même</t>
        </r>
      </text>
    </comment>
    <comment ref="H92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incrising to 9%</t>
        </r>
      </text>
    </comment>
    <comment ref="H95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incrising to 1,5%</t>
        </r>
      </text>
    </comment>
    <comment ref="H125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20 649 231 de plus sur l'année précedent + 2000 000 retiré sur comissariat jeunesse et sport+9020294 retiré sur DNDPE+2598800 restant pour completer le montant global</t>
        </r>
      </text>
    </comment>
    <comment ref="H125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22000000 de plus parcequ'on a fait une ouverture annuel</t>
        </r>
      </text>
    </comment>
    <comment ref="H1253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2175000 parceque tous les ministères dependront à la charge commune.</t>
        </r>
      </text>
    </comment>
    <comment ref="H125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500000 de plus moins 8000000 versé sur cour suprem; moins 16 800 000 viré à l'assemblé</t>
        </r>
      </text>
    </comment>
    <comment ref="H125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1000000 de plus</t>
        </r>
      </text>
    </comment>
    <comment ref="H125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 386 345 664 c'est la prévision le moment où trans était de 4031
maintenant on a 20 000 000
moins 2 000 000 pour CNPA</t>
        </r>
      </text>
    </comment>
    <comment ref="H125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moins 3 000 000 pour CNPA</t>
        </r>
      </text>
    </comment>
    <comment ref="H128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c'est  le nouveau TOFE) fer+ 350418333
</t>
        </r>
      </text>
    </comment>
    <comment ref="H128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c'est moins 8%</t>
        </r>
      </text>
    </comment>
    <comment ref="H129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hadidja
10000000 de plus</t>
        </r>
      </text>
    </comment>
    <comment ref="I8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à verrifier sur les documents des prévisions l'exécution et la prévision.</t>
        </r>
      </text>
    </comment>
    <comment ref="I97" authorId="1">
      <text>
        <r>
          <rPr>
            <b/>
            <sz val="8"/>
            <rFont val="Tahoma"/>
            <family val="2"/>
          </rPr>
          <t>ha:</t>
        </r>
        <r>
          <rPr>
            <sz val="8"/>
            <rFont val="Tahoma"/>
            <family val="2"/>
          </rPr>
          <t xml:space="preserve">
15000000 DE plus pour les fonds spéciaux de président CC,CS et le delégué droit de l'Homme
</t>
        </r>
      </text>
    </comment>
    <comment ref="I83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
cabinet+SGP+sans poste+prévision de SG HAFOP+Cabinet militaire</t>
        </r>
      </text>
    </comment>
    <comment ref="F33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
cour s et trubinaux</t>
        </r>
      </text>
    </comment>
    <comment ref="I29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
cabinet+justice anjouan+sans post</t>
        </r>
      </text>
    </comment>
    <comment ref="F83" authorId="0">
      <text>
        <r>
          <rPr>
            <b/>
            <sz val="9"/>
            <rFont val="Tahoma"/>
            <family val="2"/>
          </rPr>
          <t>acer:
budget</t>
        </r>
        <r>
          <rPr>
            <sz val="9"/>
            <rFont val="Tahoma"/>
            <family val="2"/>
          </rPr>
          <t xml:space="preserve">
fop+sans poste</t>
        </r>
      </text>
    </comment>
    <comment ref="F119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14 personne identifier</t>
        </r>
      </text>
    </comment>
    <comment ref="F113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cabinet+un agent sans poste</t>
        </r>
      </text>
    </comment>
    <comment ref="F65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 +un agent sans poste</t>
        </r>
      </text>
    </comment>
    <comment ref="F69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 + un agent sans poste
</t>
        </r>
      </text>
    </comment>
    <comment ref="F780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 +6 agents sans poste</t>
        </r>
      </text>
    </comment>
    <comment ref="F42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protocole d'etat+Monde Arabe+affaire politique+cooperation international+comorien  à l'étranger
</t>
        </r>
      </text>
    </comment>
    <comment ref="F40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 + 7 agents sans poste
</t>
        </r>
      </text>
    </comment>
    <comment ref="I107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DNST+anti drog+crime organisé</t>
        </r>
      </text>
    </comment>
    <comment ref="F102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 +  74 agents sans postes</t>
        </r>
      </text>
    </comment>
    <comment ref="F56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budget + un agent sans poste
</t>
        </r>
      </text>
    </comment>
    <comment ref="F543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cabinet+ sans poste
</t>
        </r>
      </text>
    </comment>
    <comment ref="F19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cabinet+ins
tance d'affectation
</t>
        </r>
      </text>
    </comment>
    <comment ref="F88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cabinet+20 sans poste</t>
        </r>
      </text>
    </comment>
    <comment ref="I25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plus 6 million nouveau hopitaux</t>
        </r>
      </text>
    </comment>
    <comment ref="I95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plus 3000000 / 2014
+ 40 000 000 retiré au production service bureau géologique</t>
        </r>
      </text>
    </comment>
    <comment ref="I1297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plus 20 million/2014</t>
        </r>
      </text>
    </comment>
    <comment ref="I40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+23 mill pour leur nouveau recrutement
</t>
        </r>
      </text>
    </comment>
    <comment ref="I129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45% par rapport au mécanisme</t>
        </r>
      </text>
    </comment>
    <comment ref="G29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
cabinet+justice anjouan+sans post</t>
        </r>
      </text>
    </comment>
    <comment ref="I126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15 487 200 pour les indemnités des sortants</t>
        </r>
      </text>
    </comment>
    <comment ref="I1246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10 790 000 les carburants des sortants</t>
        </r>
      </text>
    </comment>
    <comment ref="I75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moins le montant déjà engagé pour le teracemnt(77 746717)</t>
        </r>
      </text>
    </comment>
    <comment ref="D779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INTITULE</t>
        </r>
      </text>
    </comment>
    <comment ref="B778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INTITULE</t>
        </r>
      </text>
    </comment>
    <comment ref="D797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DE L'INTITULE</t>
        </r>
      </text>
    </comment>
    <comment ref="D704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au paravant ça était delegué chargé de l'Agriculture et maintenant secretariat d'Etat c-a-d changement de nom.</t>
        </r>
      </text>
    </comment>
    <comment ref="D664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CHANGEGEMENT D'INTITULE</t>
        </r>
      </text>
    </comment>
    <comment ref="B1132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D'INTITULE</t>
        </r>
      </text>
    </comment>
    <comment ref="G16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plus 379080 800 selon leur dépassement</t>
        </r>
      </text>
    </comment>
    <comment ref="G19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+ 18 957 572mill pour leur doléance</t>
        </r>
      </text>
    </comment>
    <comment ref="G25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plus 6 million nouveau hopitaux</t>
        </r>
      </text>
    </comment>
    <comment ref="G758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moins le montant déjà engagé pour le teracemnt(77 746717)</t>
        </r>
      </text>
    </comment>
    <comment ref="G1246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10 790 000 les carburants des sortants</t>
        </r>
      </text>
    </comment>
    <comment ref="G1265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15 487 200 pour les indemnités des sortants</t>
        </r>
      </text>
    </comment>
    <comment ref="H294" authorId="3">
      <text>
        <r>
          <rPr>
            <b/>
            <sz val="9"/>
            <color indexed="8"/>
            <rFont val="Tahoma"/>
            <family val="2"/>
          </rPr>
          <t xml:space="preserve">acer:
</t>
        </r>
        <r>
          <rPr>
            <sz val="9"/>
            <color indexed="8"/>
            <rFont val="Tahoma"/>
            <family val="2"/>
          </rPr>
          <t xml:space="preserve">cabinet+ hadj et oumlra
</t>
        </r>
      </text>
    </comment>
    <comment ref="I468" authorId="4">
      <text>
        <r>
          <rPr>
            <b/>
            <sz val="9"/>
            <rFont val="Tahoma"/>
            <family val="2"/>
          </rPr>
          <t>Win 7:</t>
        </r>
        <r>
          <rPr>
            <sz val="9"/>
            <rFont val="Tahoma"/>
            <family val="2"/>
          </rPr>
          <t xml:space="preserve">
Suspendu par président
</t>
        </r>
      </text>
    </comment>
    <comment ref="E1012" authorId="5">
      <text>
        <r>
          <rPr>
            <b/>
            <sz val="9"/>
            <rFont val="Tahoma"/>
            <family val="2"/>
          </rPr>
          <t>TIDJARA SAADI:</t>
        </r>
        <r>
          <rPr>
            <sz val="9"/>
            <rFont val="Tahoma"/>
            <family val="2"/>
          </rPr>
          <t xml:space="preserve">
INSTITUTION FINANCIERE</t>
        </r>
      </text>
    </comment>
    <comment ref="E1011" authorId="5">
      <text>
        <r>
          <rPr>
            <b/>
            <sz val="9"/>
            <rFont val="Tahoma"/>
            <family val="2"/>
          </rPr>
          <t>TIDJARA SAADI:</t>
        </r>
        <r>
          <rPr>
            <sz val="9"/>
            <rFont val="Tahoma"/>
            <family val="2"/>
          </rPr>
          <t xml:space="preserve">
PARTENAIRE</t>
        </r>
      </text>
    </comment>
    <comment ref="I588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87 500 POUR le recensement</t>
        </r>
      </text>
    </comment>
    <comment ref="G468" authorId="4">
      <text>
        <r>
          <rPr>
            <b/>
            <sz val="9"/>
            <rFont val="Tahoma"/>
            <family val="2"/>
          </rPr>
          <t>Win 7:</t>
        </r>
        <r>
          <rPr>
            <sz val="9"/>
            <rFont val="Tahoma"/>
            <family val="2"/>
          </rPr>
          <t xml:space="preserve">
Suspendu par président
</t>
        </r>
      </text>
    </comment>
    <comment ref="G1292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45% par rapport au mécanisme</t>
        </r>
      </text>
    </comment>
    <comment ref="I1262" authorId="6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moins 30 000 000 pour la rectification du beit salam</t>
        </r>
      </text>
    </comment>
    <comment ref="I78" authorId="6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rajout le montant du personnel subalterne de 13 200 00( pris 7237598 dans Lcorruption et 5962402 dans la ligne du formation)</t>
        </r>
      </text>
    </comment>
    <comment ref="H83" authorId="7">
      <text>
        <r>
          <rPr>
            <b/>
            <sz val="9"/>
            <rFont val="Tahoma"/>
            <family val="2"/>
          </rPr>
          <t>Synthese:</t>
        </r>
        <r>
          <rPr>
            <sz val="9"/>
            <rFont val="Tahoma"/>
            <family val="2"/>
          </rPr>
          <t xml:space="preserve">
Cab+SGp+cab mill</t>
        </r>
      </text>
    </comment>
    <comment ref="H787" authorId="7">
      <text>
        <r>
          <rPr>
            <b/>
            <sz val="9"/>
            <rFont val="Tahoma"/>
            <family val="2"/>
          </rPr>
          <t>Synthese:</t>
        </r>
        <r>
          <rPr>
            <sz val="9"/>
            <rFont val="Tahoma"/>
            <family val="2"/>
          </rPr>
          <t xml:space="preserve">
SG+CGP</t>
        </r>
      </text>
    </comment>
    <comment ref="H780" authorId="7">
      <text>
        <r>
          <rPr>
            <b/>
            <sz val="9"/>
            <rFont val="Tahoma"/>
            <family val="2"/>
          </rPr>
          <t>Synthese:</t>
        </r>
        <r>
          <rPr>
            <sz val="9"/>
            <rFont val="Tahoma"/>
            <family val="2"/>
          </rPr>
          <t xml:space="preserve">
cab+Dir Gén de planification str et dir de la programmation</t>
        </r>
      </text>
    </comment>
  </commentList>
</comments>
</file>

<file path=xl/comments2.xml><?xml version="1.0" encoding="utf-8"?>
<comments xmlns="http://schemas.openxmlformats.org/spreadsheetml/2006/main">
  <authors>
    <author>acer</author>
    <author>ha</author>
    <author>HP6930P</author>
    <author>TIDJARA SAADI</author>
  </authors>
  <commentList>
    <comment ref="F81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ha
cabinet+SGP+sans poste+prévision de SG HAFOP</t>
        </r>
      </text>
    </comment>
    <comment ref="F86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à verrifier sur les documents des prévisions l'exécution et la prévision.</t>
        </r>
      </text>
    </comment>
    <comment ref="F95" authorId="1">
      <text>
        <r>
          <rPr>
            <b/>
            <sz val="8"/>
            <rFont val="Tahoma"/>
            <family val="2"/>
          </rPr>
          <t>ha:</t>
        </r>
        <r>
          <rPr>
            <sz val="8"/>
            <rFont val="Tahoma"/>
            <family val="2"/>
          </rPr>
          <t xml:space="preserve">
15000000 DE plus pour les fonds spéciaux de président CC,CS et le delégué droit de l'Homme
</t>
        </r>
      </text>
    </comment>
    <comment ref="C795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DE L'INTITULE</t>
        </r>
      </text>
    </comment>
    <comment ref="C662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CHANGEGEMENT D'INTITULE</t>
        </r>
      </text>
    </comment>
    <comment ref="C702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au paravant ça était delegué chargé de l'Agriculture et maintenant secretariat d'Etat c-a-d changement de nom.</t>
        </r>
      </text>
    </comment>
    <comment ref="B776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INTITULE</t>
        </r>
      </text>
    </comment>
    <comment ref="E1009" authorId="3">
      <text>
        <r>
          <rPr>
            <b/>
            <sz val="9"/>
            <rFont val="Tahoma"/>
            <family val="2"/>
          </rPr>
          <t>TIDJARA SAADI:</t>
        </r>
        <r>
          <rPr>
            <sz val="9"/>
            <rFont val="Tahoma"/>
            <family val="2"/>
          </rPr>
          <t xml:space="preserve">
PARTENAIRE</t>
        </r>
      </text>
    </comment>
    <comment ref="E1010" authorId="3">
      <text>
        <r>
          <rPr>
            <b/>
            <sz val="9"/>
            <rFont val="Tahoma"/>
            <family val="2"/>
          </rPr>
          <t>TIDJARA SAADI:</t>
        </r>
        <r>
          <rPr>
            <sz val="9"/>
            <rFont val="Tahoma"/>
            <family val="2"/>
          </rPr>
          <t xml:space="preserve">
INSTITUTION FINANCIERE</t>
        </r>
      </text>
    </comment>
    <comment ref="B1130" authorId="2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D'INTITULE</t>
        </r>
      </text>
    </comment>
  </commentList>
</comments>
</file>

<file path=xl/comments3.xml><?xml version="1.0" encoding="utf-8"?>
<comments xmlns="http://schemas.openxmlformats.org/spreadsheetml/2006/main">
  <authors>
    <author>HP6930P</author>
    <author>TIDJARA SAADI</author>
  </authors>
  <commentList>
    <comment ref="B172" authorId="0">
      <text>
        <r>
          <rPr>
            <b/>
            <sz val="9"/>
            <rFont val="Tahoma"/>
            <family val="2"/>
          </rPr>
          <t>HP6930P:</t>
        </r>
        <r>
          <rPr>
            <sz val="9"/>
            <rFont val="Tahoma"/>
            <family val="2"/>
          </rPr>
          <t xml:space="preserve">
CHANGEMENT INTITULE</t>
        </r>
      </text>
    </comment>
    <comment ref="C214" authorId="1">
      <text>
        <r>
          <rPr>
            <b/>
            <sz val="9"/>
            <rFont val="Tahoma"/>
            <family val="2"/>
          </rPr>
          <t>TIDJARA SAADI:</t>
        </r>
        <r>
          <rPr>
            <sz val="9"/>
            <rFont val="Tahoma"/>
            <family val="2"/>
          </rPr>
          <t xml:space="preserve">
PARTENAIRE</t>
        </r>
      </text>
    </comment>
    <comment ref="C215" authorId="1">
      <text>
        <r>
          <rPr>
            <b/>
            <sz val="9"/>
            <rFont val="Tahoma"/>
            <family val="2"/>
          </rPr>
          <t>TIDJARA SAADI:</t>
        </r>
        <r>
          <rPr>
            <sz val="9"/>
            <rFont val="Tahoma"/>
            <family val="2"/>
          </rPr>
          <t xml:space="preserve">
INSTITUTION FINANCIERE</t>
        </r>
      </text>
    </comment>
  </commentList>
</comments>
</file>

<file path=xl/comments4.xml><?xml version="1.0" encoding="utf-8"?>
<comments xmlns="http://schemas.openxmlformats.org/spreadsheetml/2006/main">
  <authors>
    <author>TIDJARA SAADI</author>
  </authors>
  <commentList>
    <comment ref="B17" authorId="0">
      <text>
        <r>
          <rPr>
            <b/>
            <sz val="9"/>
            <rFont val="Tahoma"/>
            <family val="2"/>
          </rPr>
          <t>TIDJARA SAADI:</t>
        </r>
        <r>
          <rPr>
            <sz val="9"/>
            <rFont val="Tahoma"/>
            <family val="2"/>
          </rPr>
          <t xml:space="preserve">
PARTENAIRE</t>
        </r>
      </text>
    </comment>
  </commentList>
</comments>
</file>

<file path=xl/sharedStrings.xml><?xml version="1.0" encoding="utf-8"?>
<sst xmlns="http://schemas.openxmlformats.org/spreadsheetml/2006/main" count="9965" uniqueCount="723">
  <si>
    <t>NATURE</t>
  </si>
  <si>
    <t>Code</t>
  </si>
  <si>
    <t>Nature</t>
  </si>
  <si>
    <t>Designation</t>
  </si>
  <si>
    <t>01</t>
  </si>
  <si>
    <t>Assemblée de l'Union</t>
  </si>
  <si>
    <t>Remunération du personnel</t>
  </si>
  <si>
    <t>Fournitures de bureau</t>
  </si>
  <si>
    <t>Carburant et lubrifiants</t>
  </si>
  <si>
    <t>Conférence et séminaires</t>
  </si>
  <si>
    <t>Eau, électricité</t>
  </si>
  <si>
    <t xml:space="preserve">Frais de Transports et Missions à l'extérieur </t>
  </si>
  <si>
    <t>Frais de Transports et Missions à l'intérieur</t>
  </si>
  <si>
    <t>Frais de reception</t>
  </si>
  <si>
    <t>Aides et sécours médicaux</t>
  </si>
  <si>
    <t>contribution aux organismes internationnaux</t>
  </si>
  <si>
    <t>Autres achats de biens et services civils</t>
  </si>
  <si>
    <t>02</t>
  </si>
  <si>
    <t>Cour Supreme</t>
  </si>
  <si>
    <t>Autres achats des biens et services civils</t>
  </si>
  <si>
    <t>Total service</t>
  </si>
  <si>
    <t>COUR CONSTITUTIONNELLE</t>
  </si>
  <si>
    <t>03</t>
  </si>
  <si>
    <t>Cour Constitutionnelle</t>
  </si>
  <si>
    <t>04</t>
  </si>
  <si>
    <t>PRESIDENCE DE L'UNION</t>
  </si>
  <si>
    <t>BEIT SALAM</t>
  </si>
  <si>
    <t>Autres achats de biens et services pour la sécurité</t>
  </si>
  <si>
    <t>Cabinet Présidence de l'Union</t>
  </si>
  <si>
    <t>Secrétariat  Général du  Gouvernement</t>
  </si>
  <si>
    <t>Conférences et séminaires</t>
  </si>
  <si>
    <t>Haute Autorité de la Fonction Publique</t>
  </si>
  <si>
    <t>Commission Nationale de Prévention et de lutte contre la Corruption</t>
  </si>
  <si>
    <t>Commissariat Général au Plan</t>
  </si>
  <si>
    <t>Fournitures de bureaux</t>
  </si>
  <si>
    <t>Coordination à Anjouan</t>
  </si>
  <si>
    <t>Coordination à Mohéli</t>
  </si>
  <si>
    <t>DNDPE</t>
  </si>
  <si>
    <t>Direction  du  Journal  Officiel</t>
  </si>
  <si>
    <t>Armée Nationale de Développement</t>
  </si>
  <si>
    <t>Autres achats des biens et services pour la sécurité</t>
  </si>
  <si>
    <t>Evacuations sanitaires</t>
  </si>
  <si>
    <t>Aides et secours médicaux</t>
  </si>
  <si>
    <t>ouvrage et infrastructures</t>
  </si>
  <si>
    <t>05</t>
  </si>
  <si>
    <t>Cabinet Santé, Solidarité et Promotion  du Genre</t>
  </si>
  <si>
    <t>COMMISSARIAT DE LA SOLIDARITE ET DE LA PROMOTION DU GENRE</t>
  </si>
  <si>
    <t>Fourniture de bureau</t>
  </si>
  <si>
    <t>Frais de transport et de mission à l'intérieur</t>
  </si>
  <si>
    <t>Frais de réception</t>
  </si>
  <si>
    <t>Direction Nationale de la  Solidarité</t>
  </si>
  <si>
    <t>Direction Nationale de la  Santé</t>
  </si>
  <si>
    <t>Direction Nationale de la Promotion du Genre</t>
  </si>
  <si>
    <t>Direction Nationale de la  Planificaton et des statistique Sanitaires</t>
  </si>
  <si>
    <t>Inspection Générale de la Santé</t>
  </si>
  <si>
    <t>HOPITAL EL MAAROUF</t>
  </si>
  <si>
    <t>HOPITAL DE HOMBO</t>
  </si>
  <si>
    <t>HOPITAL DE FOMBONI</t>
  </si>
  <si>
    <t>PROJET SIDA</t>
  </si>
  <si>
    <t>Programme  Elargie de Vaccination</t>
  </si>
  <si>
    <t>Lutte Contre les epidemis</t>
  </si>
  <si>
    <t>Lutte Contre le Paludisme</t>
  </si>
  <si>
    <t>AUTRES PROJETS INVESTISSEMENT NON CLASSES</t>
  </si>
  <si>
    <t>Acquisitions, constructions et réparations des immeubles</t>
  </si>
  <si>
    <t>06</t>
  </si>
  <si>
    <t>Cabinet Justice, FOP, D.L, Aff. Isl</t>
  </si>
  <si>
    <t>secretariat Géneral</t>
  </si>
  <si>
    <t xml:space="preserve">Direction Général Administrative Pénitenciaires  </t>
  </si>
  <si>
    <t>Achat de nourriture</t>
  </si>
  <si>
    <t>Direction Générale de la FOP</t>
  </si>
  <si>
    <t>Direction Générale Affaires Judiciaires</t>
  </si>
  <si>
    <t>Cour d'Appel</t>
  </si>
  <si>
    <t>TOTAL MINISTERE</t>
  </si>
  <si>
    <t>Cours d'Appel de Mutsamudu</t>
  </si>
  <si>
    <t>Direction Administration Penitentiaire de Fomboni</t>
  </si>
  <si>
    <t>Nourriture detenus</t>
  </si>
  <si>
    <t>Cours d'Appel de Fomboni</t>
  </si>
  <si>
    <t>Inspection Générale des Services Judiciaires</t>
  </si>
  <si>
    <t xml:space="preserve">Direction G. des Affaires Islamiques </t>
  </si>
  <si>
    <t>Conférance /Séminaçire et Mussabacat</t>
  </si>
  <si>
    <t xml:space="preserve">Direction de L'Etat Civil et Casier Judiciaire </t>
  </si>
  <si>
    <t>07</t>
  </si>
  <si>
    <t>Cabinet Relations Extérieures</t>
  </si>
  <si>
    <t>Ambassade des Comores à New York</t>
  </si>
  <si>
    <t>Ambassade des Comores au Caire</t>
  </si>
  <si>
    <t xml:space="preserve">Ambassade des Comores à Riyad </t>
  </si>
  <si>
    <t>Ambassade des Comores en Afrique du Sud</t>
  </si>
  <si>
    <t>Ambassade des Comores à Tripoli</t>
  </si>
  <si>
    <t>Ambassade des Comores en IRAN</t>
  </si>
  <si>
    <t>Ambassade des Comores à Dakar</t>
  </si>
  <si>
    <t>Consulat Général à Tunisie</t>
  </si>
  <si>
    <t>Consulat Général à Majunga</t>
  </si>
  <si>
    <t>09</t>
  </si>
  <si>
    <t>Cabinet Finances et Budget</t>
  </si>
  <si>
    <t>Direction Générale du Budget</t>
  </si>
  <si>
    <t>Direction Générale des Marchés Publics</t>
  </si>
  <si>
    <t xml:space="preserve">Autres achats des biens et services </t>
  </si>
  <si>
    <t>Agence Nationale des Promotions des Investissement</t>
  </si>
  <si>
    <t>Direction G. du Commerce Exterieur.</t>
  </si>
  <si>
    <t>Inspection  Générale des Finances</t>
  </si>
  <si>
    <t>Trésorerie Générale des Comores</t>
  </si>
  <si>
    <t>Direction   Générale des Douanes</t>
  </si>
  <si>
    <t>Brigade Polyvalente Impots - Douanes</t>
  </si>
  <si>
    <t>Département Immobilier de l'Etat</t>
  </si>
  <si>
    <t>Cellule de Reforme Economique et Financier</t>
  </si>
  <si>
    <t>Département Arabe</t>
  </si>
  <si>
    <t>Comité National de la Dette Publique</t>
  </si>
  <si>
    <t>Direction Nationale de la Dette Publique</t>
  </si>
  <si>
    <t>11</t>
  </si>
  <si>
    <t>Cabinet  Postes et Télécom</t>
  </si>
  <si>
    <t xml:space="preserve">Conférences et séminaires </t>
  </si>
  <si>
    <t>Direction Générale des Tics et de la Poste</t>
  </si>
  <si>
    <t>Direction Générale des Transports</t>
  </si>
  <si>
    <t>Direction G. Aviation Civile et Meteo</t>
  </si>
  <si>
    <t>Direction Générale du Tourisme</t>
  </si>
  <si>
    <t>12</t>
  </si>
  <si>
    <t>Cabinet Agriculture, P. et de l'Environnement</t>
  </si>
  <si>
    <t>Direction Générale de l'Industrie</t>
  </si>
  <si>
    <t>Direction Nationale des Ressources Halieutiques</t>
  </si>
  <si>
    <t>Direction G. de l'Energie et des Mines</t>
  </si>
  <si>
    <t>Centre National Comorien de l'Artisanat</t>
  </si>
  <si>
    <t xml:space="preserve"> Institut N.  de R.  pour l'Agriculture, peche et envir.</t>
  </si>
  <si>
    <t>Office Comorien de la Pr. Intellectuelle</t>
  </si>
  <si>
    <t>Centre N. de Formation et de Perfection Agricole</t>
  </si>
  <si>
    <t>Achats de nouritures</t>
  </si>
  <si>
    <t>Direction Générale de l'Environnement</t>
  </si>
  <si>
    <t>Acquisitions, constructions et réparations des immeubles(appuit à la Péche)</t>
  </si>
  <si>
    <t>13</t>
  </si>
  <si>
    <t>Direction N. de  L'equip. et de l'amenag.du territoire</t>
  </si>
  <si>
    <t>Direction de l'Urbanisme</t>
  </si>
  <si>
    <t>14</t>
  </si>
  <si>
    <t xml:space="preserve">EDUCATION NATIONALE, DE LA RECHERCHE, DE LA CULTURE,DES ARTS, </t>
  </si>
  <si>
    <t>Cabinet Education Nationale</t>
  </si>
  <si>
    <t>Commission Nationale pour l'UNESCO</t>
  </si>
  <si>
    <t>O N E C</t>
  </si>
  <si>
    <t>Commission Nationale pour l'ISESCO</t>
  </si>
  <si>
    <t xml:space="preserve">Inspection G.de l'Education Nationale </t>
  </si>
  <si>
    <t>Commissariat Nat. à la Culture, à la Jeunesse et au Sport</t>
  </si>
  <si>
    <t>Institut N. de la Jeunesse et des Sports</t>
  </si>
  <si>
    <t xml:space="preserve">Centre National d'Horticole </t>
  </si>
  <si>
    <t>Centre National de Recherche Scientifique</t>
  </si>
  <si>
    <t>E.N.T.P</t>
  </si>
  <si>
    <t>UNIVERSITE DES COMORES</t>
  </si>
  <si>
    <t>Ecole Nationale de la Pêche</t>
  </si>
  <si>
    <t>Direction de la politique et des Programmes d'Enseignement</t>
  </si>
  <si>
    <t>Direction Générale de l'Enseignement Tech.Prof</t>
  </si>
  <si>
    <t>Direction Générale de la Planification</t>
  </si>
  <si>
    <t>Direction Générale de l'Enseignement Sup</t>
  </si>
  <si>
    <t>Direction Générale de la Culture</t>
  </si>
  <si>
    <t>MINISTERE DE L'INTERIEUR, DE L'INFOR, DE LA DECENTR, CHARGE DES RELATIONS AVECLES INSTITU</t>
  </si>
  <si>
    <t>Cabinet Interieur et Information</t>
  </si>
  <si>
    <t>O R T C</t>
  </si>
  <si>
    <t>Subvention aux Etablissements Publics</t>
  </si>
  <si>
    <t>AL WATWAN</t>
  </si>
  <si>
    <t>Direction Générale de l'information et de la Communication</t>
  </si>
  <si>
    <t>PREFECTURES</t>
  </si>
  <si>
    <t>Direction  Nationale  des Opérations Electorales</t>
  </si>
  <si>
    <t>Elections</t>
  </si>
  <si>
    <t>Direction  Nationale  de la décentralisation</t>
  </si>
  <si>
    <t>Direction Nationale de la Sureté du Territoire</t>
  </si>
  <si>
    <t>Direction Générale Immigration / Emmigration</t>
  </si>
  <si>
    <t>Direction Générale de l'Interpol</t>
  </si>
  <si>
    <t xml:space="preserve"> Direction G. de l'Entreprenariat Feminine</t>
  </si>
  <si>
    <t xml:space="preserve"> Direction G. du Travail </t>
  </si>
  <si>
    <t xml:space="preserve"> Direction G. de  l'emploi</t>
  </si>
  <si>
    <t>VICE PRESIDENCE MAYOTTE</t>
  </si>
  <si>
    <t>Cabinet de la Vice Présidence</t>
  </si>
  <si>
    <t>31</t>
  </si>
  <si>
    <t>FINANCES ET BUDGET - DEPENSES COMMUNES</t>
  </si>
  <si>
    <t>CHARGES  COMMUNES</t>
  </si>
  <si>
    <t>Carburant et Lubrifiant</t>
  </si>
  <si>
    <t>Frais de gardiennage</t>
  </si>
  <si>
    <t>Frais de Transports et Missions à l'intérieurs</t>
  </si>
  <si>
    <t>Fêtes et cérémonie officielles</t>
  </si>
  <si>
    <t>Achats des timbres et documents administratifs</t>
  </si>
  <si>
    <t>imprévues</t>
  </si>
  <si>
    <t>PRESTATIONS DES SERVICES"</t>
  </si>
  <si>
    <t>Autres prestations de services</t>
  </si>
  <si>
    <t xml:space="preserve">DETTE ET CONTRIBUTIONS INTERNATIONALES </t>
  </si>
  <si>
    <t>Amortissements des emprunts sur la dette multilatérale</t>
  </si>
  <si>
    <t>Amortissements des emprunts sur la dette bilatérale</t>
  </si>
  <si>
    <t>Amortissements des emprunts auprès de la BCC</t>
  </si>
  <si>
    <t>Contributions aux organismes internationaux</t>
  </si>
  <si>
    <t>Intérêts des emprunts sur la dette bilatérale</t>
  </si>
  <si>
    <t>FONDS D'ENTRETIEN ROUTIER</t>
  </si>
  <si>
    <t>Entretien des routes</t>
  </si>
  <si>
    <t>ENTRETIEN DES BATIMENTS ET LOGEMENTS ADMINISTRATIFS</t>
  </si>
  <si>
    <t>EQUIPEMENT DES ADMINISTRATIONS</t>
  </si>
  <si>
    <t>AUTRES PROJETS NON CLASSES</t>
  </si>
  <si>
    <t xml:space="preserve">CODE </t>
  </si>
  <si>
    <t>DESIGNATION</t>
  </si>
  <si>
    <t>Total Bien et Services</t>
  </si>
  <si>
    <t>Total salaires</t>
  </si>
  <si>
    <t>Total transfert</t>
  </si>
  <si>
    <t>Total Invest</t>
  </si>
  <si>
    <t>Total Dette</t>
  </si>
  <si>
    <t>ENTITE</t>
  </si>
  <si>
    <t>CODE</t>
  </si>
  <si>
    <t>MINISTERE</t>
  </si>
  <si>
    <t>EFECTIF</t>
  </si>
  <si>
    <t>REMUNERATION DU PERSONNEL</t>
  </si>
  <si>
    <t xml:space="preserve">BIENS ET SERVICES </t>
  </si>
  <si>
    <t>TOTAL GENERAL</t>
  </si>
  <si>
    <t>Intérêts D ext</t>
  </si>
  <si>
    <t>Amortiss. D ext</t>
  </si>
  <si>
    <t>Amortiss. D int</t>
  </si>
  <si>
    <t>EFFECTIF</t>
  </si>
  <si>
    <t>TRANS &amp; cont</t>
  </si>
  <si>
    <t>TOTAT GENERAL</t>
  </si>
  <si>
    <t>Direction  Nationale de la Protection Civile(COSEP)</t>
  </si>
  <si>
    <t>NGAZIDJA</t>
  </si>
  <si>
    <t>Bureau géologique</t>
  </si>
  <si>
    <t>Ambassade de comores à ADDIS ABABA</t>
  </si>
  <si>
    <t>Ambassade des Comores à CHINE</t>
  </si>
  <si>
    <t>Fête et cérémonie officielle</t>
  </si>
  <si>
    <t>Autres fournitures</t>
  </si>
  <si>
    <t>Conférence et séminaire</t>
  </si>
  <si>
    <t>Ambassade des Comores à Paris</t>
  </si>
  <si>
    <t>Ecart</t>
  </si>
  <si>
    <t>Parc Marin à Mohéli</t>
  </si>
  <si>
    <t>Direction N. des Routes et des Transports</t>
  </si>
  <si>
    <t>Laboratoire National des Travaux Publics et des Bât.</t>
  </si>
  <si>
    <t>Bourse d'etudes</t>
  </si>
  <si>
    <t>Ecole Nationale de  Police</t>
  </si>
  <si>
    <t>Autre achats des biens et services civils</t>
  </si>
  <si>
    <t>Direction de la formation profess</t>
  </si>
  <si>
    <r>
      <t>Tribunal de 1</t>
    </r>
    <r>
      <rPr>
        <b/>
        <i/>
        <vertAlign val="superscript"/>
        <sz val="11"/>
        <rFont val="Arial"/>
        <family val="2"/>
      </rPr>
      <t>ère</t>
    </r>
    <r>
      <rPr>
        <b/>
        <i/>
        <sz val="11"/>
        <rFont val="Arial"/>
        <family val="2"/>
      </rPr>
      <t xml:space="preserve"> Instance Moroni</t>
    </r>
  </si>
  <si>
    <r>
      <t>Tribunal de 1</t>
    </r>
    <r>
      <rPr>
        <b/>
        <i/>
        <vertAlign val="superscript"/>
        <sz val="11"/>
        <rFont val="Arial"/>
        <family val="2"/>
      </rPr>
      <t>ère</t>
    </r>
    <r>
      <rPr>
        <b/>
        <i/>
        <sz val="11"/>
        <rFont val="Arial"/>
        <family val="2"/>
      </rPr>
      <t xml:space="preserve"> Instance à Anjouan</t>
    </r>
  </si>
  <si>
    <r>
      <t>Tribunal de 1</t>
    </r>
    <r>
      <rPr>
        <b/>
        <i/>
        <vertAlign val="superscript"/>
        <sz val="11"/>
        <rFont val="Arial"/>
        <family val="2"/>
      </rPr>
      <t>ère</t>
    </r>
    <r>
      <rPr>
        <b/>
        <i/>
        <sz val="11"/>
        <rFont val="Arial"/>
        <family val="2"/>
      </rPr>
      <t xml:space="preserve"> Instance à Mohéli</t>
    </r>
  </si>
  <si>
    <t>Direction Générale du Contrôle Financier</t>
  </si>
  <si>
    <t>Direction Générale de l'informatique</t>
  </si>
  <si>
    <t>Office National de Tourisme</t>
  </si>
  <si>
    <t>Autorité de regulation des Marché Publique</t>
  </si>
  <si>
    <t>Féte et Cérémonie Officielles</t>
  </si>
  <si>
    <t>Conférance et Séminaires</t>
  </si>
  <si>
    <t>Frais de transport et de mission à l'extérieur</t>
  </si>
  <si>
    <t>Frais de transport et mission à l'intérieur</t>
  </si>
  <si>
    <t>Autres Achats des biens et service civils</t>
  </si>
  <si>
    <t>Frais de transport et mission à l'extérieur</t>
  </si>
  <si>
    <t>Maison de l'Emploi</t>
  </si>
  <si>
    <t>Frais transport et mission à l'interieur</t>
  </si>
  <si>
    <t>Direction Générale Alphabétisation</t>
  </si>
  <si>
    <t xml:space="preserve">Commission Nationale des droits de l'homme et des Libertés </t>
  </si>
  <si>
    <t>Conferences et séminaires</t>
  </si>
  <si>
    <t>Autres Achats des biens et services civils</t>
  </si>
  <si>
    <t>Direction Générale de la comptabilité Publique</t>
  </si>
  <si>
    <t>AGID</t>
  </si>
  <si>
    <t xml:space="preserve">Autres Achats des biens et service civil </t>
  </si>
  <si>
    <t>Amortissements des emprunts auprès de la BC</t>
  </si>
  <si>
    <t>Autres emprunts interieurs auprès des organismes</t>
  </si>
  <si>
    <t xml:space="preserve">  D interieur</t>
  </si>
  <si>
    <t>MWALI</t>
  </si>
  <si>
    <t xml:space="preserve">   </t>
  </si>
  <si>
    <t xml:space="preserve">Service de Renseignements Financièrs </t>
  </si>
  <si>
    <t>Subventions d'appui au service dialyse</t>
  </si>
  <si>
    <t>Fournitures Informatique</t>
  </si>
  <si>
    <t>Téléphone ,telex et telecopie</t>
  </si>
  <si>
    <t>Location  de logement</t>
  </si>
  <si>
    <t>08</t>
  </si>
  <si>
    <t>10</t>
  </si>
  <si>
    <t>15</t>
  </si>
  <si>
    <t>6171</t>
  </si>
  <si>
    <t>Frais de formation du personnel</t>
  </si>
  <si>
    <t>Téléphone,telex et telecopie.</t>
  </si>
  <si>
    <t>Fournitures informatique</t>
  </si>
  <si>
    <t>Fournitures informatiques</t>
  </si>
  <si>
    <t>Frais de formations du personnel</t>
  </si>
  <si>
    <t>Assurances souscrits au profit du personnel</t>
  </si>
  <si>
    <t>contributions aux organismes internationnaux</t>
  </si>
  <si>
    <t xml:space="preserve"> Missions de conseils et d assistances </t>
  </si>
  <si>
    <t>Subvention aux etablissements Publiques lies aux personnels</t>
  </si>
  <si>
    <t>Subventions aux établissements publiques lies au fonctionnements</t>
  </si>
  <si>
    <t>Subvention aus etablissements publiques lies aux personnels</t>
  </si>
  <si>
    <t>Subvention aux  etablissements publiques lies aux personnels</t>
  </si>
  <si>
    <t>Subventions a d autres categories de beneficiaires</t>
  </si>
  <si>
    <t xml:space="preserve"> locations de bureaux</t>
  </si>
  <si>
    <t>Subvention aux Etablissements Publiques lies aux fonctionnements</t>
  </si>
  <si>
    <t>Location de logement</t>
  </si>
  <si>
    <t>Intérêts et frais financiers  dettes multilaterales</t>
  </si>
  <si>
    <t>Intérêts et frais financiers sur conventions a paiements differe a l exterieur</t>
  </si>
  <si>
    <t>Subventions aux établissements publiques lies aux fonctionnements</t>
  </si>
  <si>
    <t>Subventions aux etablissements publiques lies aux personnels</t>
  </si>
  <si>
    <t>Subvention aux etablissements Publics lies aux personnels</t>
  </si>
  <si>
    <t>Mobilier et materiel de logement  et de bureau</t>
  </si>
  <si>
    <t xml:space="preserve">Voitures de services et de fonction </t>
  </si>
  <si>
    <t>Mobiliers et materiel de logement et de bureau</t>
  </si>
  <si>
    <t>Materiel et outillage technique</t>
  </si>
  <si>
    <t>Assurances des Vehicules Administratives</t>
  </si>
  <si>
    <t>fournitures informatiques</t>
  </si>
  <si>
    <t>HOPITAL BAMBAO MTSANGA ANJOUAN</t>
  </si>
  <si>
    <t>HOPITAL SAMBA NKOUNI</t>
  </si>
  <si>
    <t>Lutte Contre le Tuberculose et Lèpre</t>
  </si>
  <si>
    <t>Assurance des Véhicules Administratives</t>
  </si>
  <si>
    <t xml:space="preserve"> </t>
  </si>
  <si>
    <t>Ambassade des Comores à TANZANIE</t>
  </si>
  <si>
    <t>Direction Nationale de l'Artisanat</t>
  </si>
  <si>
    <t>Mobilier de bureau</t>
  </si>
  <si>
    <t>Fourniture Informatique</t>
  </si>
  <si>
    <t>Achat de Nourriture</t>
  </si>
  <si>
    <t>Assurances des Véhicules Administratives</t>
  </si>
  <si>
    <t xml:space="preserve">autre investissement </t>
  </si>
  <si>
    <t>autre investissement</t>
  </si>
  <si>
    <t xml:space="preserve"> Délégation Générale de Droit de l'homme</t>
  </si>
  <si>
    <t>Dar El Iftah(Mouftorat)</t>
  </si>
  <si>
    <t>Conference et Seminaire</t>
  </si>
  <si>
    <t>Direction N.des Strategies Agr.et de l'Elevage.</t>
  </si>
  <si>
    <t>Ambassade des Comores à Abu-Dhabi</t>
  </si>
  <si>
    <t>Consulat Général à Dubai</t>
  </si>
  <si>
    <t>Ambassade des Comores à QATAR</t>
  </si>
  <si>
    <t>Ambassade des Comores à Tana</t>
  </si>
  <si>
    <t>Autres investissements</t>
  </si>
  <si>
    <t>D.R.S .T Anjouan</t>
  </si>
  <si>
    <t>D.R.S .T Mohéli</t>
  </si>
  <si>
    <t>Commission Electoral Nationale Idependante</t>
  </si>
  <si>
    <t>Autres Fournitures</t>
  </si>
  <si>
    <t>Institut de la Statistique</t>
  </si>
  <si>
    <t>Comité de Cadrage Macro - Budgetaire</t>
  </si>
  <si>
    <t>Direction G. des Aff. Economiques et du commerce exterieur</t>
  </si>
  <si>
    <t>Subventions aux établissements publiques liées au fonctionnements</t>
  </si>
  <si>
    <t>Subvention aus etablissements publiques liées aux personnels</t>
  </si>
  <si>
    <t>Conseil Superieur de la magistrature</t>
  </si>
  <si>
    <t xml:space="preserve">Mobilier et materiel de logement  </t>
  </si>
  <si>
    <t>Mobilier et materiel  de bureau</t>
  </si>
  <si>
    <t>transfert en capital pour la gestion  de la réduction des  risques catastrophiques naturels</t>
  </si>
  <si>
    <t>Transferts en capital aux ménages</t>
  </si>
  <si>
    <t xml:space="preserve">transfert  en capital aux ménages pour le projet habitat, </t>
  </si>
  <si>
    <t>Autres salaires non ventillé</t>
  </si>
  <si>
    <t>Autres salaires non ventillés</t>
  </si>
  <si>
    <t>Exonération</t>
  </si>
  <si>
    <t>Intérêts et frais financiers sur conventions a paiements differe a l'Interieur</t>
  </si>
  <si>
    <t>Subvention d' appui à la pêche</t>
  </si>
  <si>
    <t>Conseil de la presse et l'Audiovisuel(CNPA)</t>
  </si>
  <si>
    <t>Imprévues</t>
  </si>
  <si>
    <t>NDZOUANI</t>
  </si>
  <si>
    <t>TOTAL ILES</t>
  </si>
  <si>
    <t>TOTALE GENERALE</t>
  </si>
  <si>
    <t>Materiel Informatique</t>
  </si>
  <si>
    <t>Téléphone et autres communications</t>
  </si>
  <si>
    <t>Loyer</t>
  </si>
  <si>
    <t>Subventions aux handicapés</t>
  </si>
  <si>
    <t>Acquisitions et grosses réparations du matériel et du mobilier de bureau</t>
  </si>
  <si>
    <t>Total Salaire</t>
  </si>
  <si>
    <t>Mission d'Assistance</t>
  </si>
  <si>
    <t>Eléction</t>
  </si>
  <si>
    <t>Total Biens et Services</t>
  </si>
  <si>
    <t>Subventions aux établissements publics liées au Fonctionnement</t>
  </si>
  <si>
    <t>Total Transfert</t>
  </si>
  <si>
    <t>0101</t>
  </si>
  <si>
    <t>0201</t>
  </si>
  <si>
    <t>0202</t>
  </si>
  <si>
    <t>0301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</si>
  <si>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</si>
  <si>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</si>
  <si>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</si>
  <si>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</si>
  <si>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</si>
  <si>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</si>
  <si>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</si>
  <si>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</si>
  <si>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</si>
  <si>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</si>
  <si>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</si>
  <si>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</si>
  <si>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</si>
  <si>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</si>
  <si>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</si>
  <si>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</si>
  <si>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</si>
  <si>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</si>
  <si>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</si>
  <si>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</si>
  <si>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</si>
  <si>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</si>
  <si>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</si>
  <si>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</si>
  <si>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</si>
  <si>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</si>
  <si>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</si>
  <si>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</si>
  <si>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</si>
  <si>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</si>
  <si>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</si>
  <si>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</si>
  <si>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</si>
  <si>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</si>
  <si>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</si>
  <si>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</si>
  <si>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</si>
  <si>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</si>
  <si>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</si>
  <si>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</si>
  <si>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</si>
  <si>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</si>
  <si>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</si>
  <si>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</si>
  <si>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</si>
  <si>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</si>
  <si>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</si>
  <si>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</si>
  <si>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</si>
  <si>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0701</t>
  </si>
  <si>
    <t>0702</t>
  </si>
  <si>
    <t>0703</t>
  </si>
  <si>
    <t>0704</t>
  </si>
  <si>
    <t>0705</t>
  </si>
  <si>
    <t>0706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</si>
  <si>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</si>
  <si>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</si>
  <si>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</si>
  <si>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</si>
  <si>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</si>
  <si>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</si>
  <si>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</si>
  <si>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</si>
  <si>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</si>
  <si>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</si>
  <si>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</si>
  <si>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</si>
  <si>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</si>
  <si>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</si>
  <si>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</si>
  <si>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</si>
  <si>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</si>
  <si>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</si>
  <si>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</si>
  <si>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</si>
  <si>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</si>
  <si>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</si>
  <si>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</si>
  <si>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</si>
  <si>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</si>
  <si>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</si>
  <si>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</si>
  <si>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</si>
  <si>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</si>
  <si>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</si>
  <si>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</si>
  <si>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</si>
  <si>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</si>
  <si>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</si>
  <si>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</si>
  <si>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</si>
  <si>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</si>
  <si>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</si>
  <si>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0901</t>
  </si>
  <si>
    <t>0902</t>
  </si>
  <si>
    <t>0903</t>
  </si>
  <si>
    <t>0904</t>
  </si>
  <si>
    <t>0905</t>
  </si>
  <si>
    <t>0906</t>
  </si>
  <si>
    <t>0907</t>
  </si>
  <si>
    <t>0908</t>
  </si>
  <si>
    <t>Code Min</t>
  </si>
  <si>
    <t>Code Service</t>
  </si>
  <si>
    <t>Code fonction</t>
  </si>
  <si>
    <t>Fonction</t>
  </si>
  <si>
    <t>INVESTISMENT</t>
  </si>
  <si>
    <t>0111</t>
  </si>
  <si>
    <t>0112</t>
  </si>
  <si>
    <t>0330</t>
  </si>
  <si>
    <t>Section de Comptes</t>
  </si>
  <si>
    <t>cour Constitutionnelle</t>
  </si>
  <si>
    <t>Présidence de l'Union</t>
  </si>
  <si>
    <t>Total Fonction</t>
  </si>
  <si>
    <t>0840</t>
  </si>
  <si>
    <t>0131</t>
  </si>
  <si>
    <t>0360</t>
  </si>
  <si>
    <t>0132</t>
  </si>
  <si>
    <t>0133</t>
  </si>
  <si>
    <t>0210</t>
  </si>
  <si>
    <t>0760</t>
  </si>
  <si>
    <t>1070</t>
  </si>
  <si>
    <t>1090</t>
  </si>
  <si>
    <t>0740</t>
  </si>
  <si>
    <t>0731</t>
  </si>
  <si>
    <t>0618</t>
  </si>
  <si>
    <t>0619</t>
  </si>
  <si>
    <t>0340</t>
  </si>
  <si>
    <t>0160</t>
  </si>
  <si>
    <t>0707</t>
  </si>
  <si>
    <t>0170</t>
  </si>
  <si>
    <t>0113</t>
  </si>
  <si>
    <t>0459</t>
  </si>
  <si>
    <t>0450</t>
  </si>
  <si>
    <t>0460</t>
  </si>
  <si>
    <t>0454</t>
  </si>
  <si>
    <t>0473</t>
  </si>
  <si>
    <t>0421</t>
  </si>
  <si>
    <t>0449</t>
  </si>
  <si>
    <t>0423</t>
  </si>
  <si>
    <t>0439</t>
  </si>
  <si>
    <t>0432</t>
  </si>
  <si>
    <t>0540</t>
  </si>
  <si>
    <t>0482</t>
  </si>
  <si>
    <t>0560</t>
  </si>
  <si>
    <t>0444</t>
  </si>
  <si>
    <t>0451</t>
  </si>
  <si>
    <t>0620</t>
  </si>
  <si>
    <t>0484</t>
  </si>
  <si>
    <t>0980</t>
  </si>
  <si>
    <t>0922</t>
  </si>
  <si>
    <t>0860</t>
  </si>
  <si>
    <t>0140</t>
  </si>
  <si>
    <t>0950</t>
  </si>
  <si>
    <t>0940</t>
  </si>
  <si>
    <t>0912</t>
  </si>
  <si>
    <t>0310</t>
  </si>
  <si>
    <t>0830</t>
  </si>
  <si>
    <t>0320</t>
  </si>
  <si>
    <t>0180</t>
  </si>
  <si>
    <t>1011</t>
  </si>
  <si>
    <t>1060</t>
  </si>
  <si>
    <t>Assemblée</t>
  </si>
  <si>
    <t xml:space="preserve"> Total Fonction</t>
  </si>
  <si>
    <t>Service généraux des administration publiques</t>
  </si>
  <si>
    <t>Defense</t>
  </si>
  <si>
    <t>ordre et securité publics</t>
  </si>
  <si>
    <t>affaire economiques</t>
  </si>
  <si>
    <t>protectection de l'environement</t>
  </si>
  <si>
    <t>logement et equipement collectifs</t>
  </si>
  <si>
    <t>santé</t>
  </si>
  <si>
    <t>loisirs, cultures et cultes</t>
  </si>
  <si>
    <t>enseignement</t>
  </si>
  <si>
    <t>protection sociale</t>
  </si>
  <si>
    <t>Subventions aux  entreprise publique(MA-MWE)</t>
  </si>
  <si>
    <t>subvention aux entreprise publique(MA-MWE)</t>
  </si>
  <si>
    <t>Fournitures Informatiques</t>
  </si>
  <si>
    <t>TOTAL BUDGET CENTRALE</t>
  </si>
  <si>
    <t>Subventions aux établissements publiques lies à la solidarité des jeunes</t>
  </si>
  <si>
    <t>0722</t>
  </si>
  <si>
    <t>Secretariat d'Etat chargé de la coopération avec le monde Arabe</t>
  </si>
  <si>
    <t>Vice-présidence chargé du Ministère des transports, des Postes et Télécommuni, des technologie de linfor et de TIC</t>
  </si>
  <si>
    <t xml:space="preserve">Secretariat d'Etat chargé des Transports </t>
  </si>
  <si>
    <t>Vice Présidence chargé du  Ministére de l'agriculture,  de la pêche, de l'Environnement, de l'Aménagement du territoire et de l'Urbanisme</t>
  </si>
  <si>
    <t>Secretariat d'Etat chargé de l'Aménagement du territoire et de l'Urbanisme</t>
  </si>
  <si>
    <t>EDUCATION NATIONALE, DE L'ENSEIGNEMENT, DE LA RECHERCHE, ET DES ARTS,</t>
  </si>
  <si>
    <t>Vice-Presidence, chargé du Ministère de l'Economie, du plan, l'Industrie, de l'Artisanat, du tourisme, des investissement, du Secteur privé et des affaires Foncières.</t>
  </si>
  <si>
    <t>Cabinet  de l'économie et plan</t>
  </si>
  <si>
    <t xml:space="preserve">  Ministère de la Santé, de la Solidarité, de la Protection sociale, et de la Promotion du  Genre </t>
  </si>
  <si>
    <t xml:space="preserve">Ministere d'Etat GARDE des SCEAUX, JUSTICE, de la FOP, DE Reforme Adm, Droit de l'Homme, DES AFF. ISLAMIQUES  </t>
  </si>
  <si>
    <t xml:space="preserve"> MINISTERE DES FINANCESET DU BUDGET  </t>
  </si>
  <si>
    <t xml:space="preserve">Secrétariat d'Etat chargé du tourisme et de l'Artisanat </t>
  </si>
  <si>
    <t>MINISTERE DES AFFAIRES ETRANGERES ET DE LA COPERATION INTERNATIONALE,CHARGE DES COMORIENS A L'ETRANGER</t>
  </si>
  <si>
    <t>COFOG</t>
  </si>
  <si>
    <t>1010</t>
  </si>
  <si>
    <t>1007</t>
  </si>
  <si>
    <t>1015</t>
  </si>
  <si>
    <t>Cabinet Jeunesse et emploie</t>
  </si>
  <si>
    <t>Direction G. de la Promotion des investissement</t>
  </si>
  <si>
    <t>Frais de transport et missions à l'interieur</t>
  </si>
  <si>
    <t>Cabinet de l'économie</t>
  </si>
  <si>
    <t>Service</t>
  </si>
  <si>
    <t>Autres charges locatives</t>
  </si>
  <si>
    <t>Materiel Informatique de bureau</t>
  </si>
  <si>
    <t xml:space="preserve">Construction de centre électriques </t>
  </si>
  <si>
    <t xml:space="preserve">Construction d'unités de production biogaz </t>
  </si>
  <si>
    <t>Frais de Transport et mission à l'Intérieur</t>
  </si>
  <si>
    <t xml:space="preserve">Conception de systéme </t>
  </si>
  <si>
    <t>Frais de transports et et mission à l'interieur</t>
  </si>
  <si>
    <t>Frais de réceptions</t>
  </si>
  <si>
    <t>INVEST fin ext</t>
  </si>
  <si>
    <t>Budget général en %5</t>
  </si>
  <si>
    <t>Assistance technique</t>
  </si>
  <si>
    <t>Autres achats de bien et services pour la sécurité</t>
  </si>
  <si>
    <t>autres achats des bien et service civils</t>
  </si>
  <si>
    <t>Rectorat</t>
  </si>
  <si>
    <t>Matériel Informatique de bureau</t>
  </si>
  <si>
    <t>LdFI 2017</t>
  </si>
  <si>
    <t>Construction des batiments (Fin externe)</t>
  </si>
  <si>
    <t>Rehabilitation et Equipement de l'école de Police</t>
  </si>
  <si>
    <t>Construction des Infrastructures Sportifs</t>
  </si>
  <si>
    <t>Construction d'Adductions d'eau</t>
  </si>
  <si>
    <t>Installation,Agencement et Amenagement- Reseau (Extension Couverture ORTC)</t>
  </si>
  <si>
    <t>Batiments Administratifs à Usage technique(Construction de zones franches)</t>
  </si>
  <si>
    <t>Autres(Construction de Centres Commerciaux)</t>
  </si>
  <si>
    <t>Autres (Amenagement de Marchés Periodiques)</t>
  </si>
  <si>
    <t>Autres Constructions( citernes de stockage d'hydrocarbures )</t>
  </si>
  <si>
    <t>Batiments Administratifs à Usage Technique(Construction d'usine agroalimentaire)</t>
  </si>
  <si>
    <t>Construction des Batiments Administratifs,Logements</t>
  </si>
  <si>
    <t>Batiments Administratifs à Usage Technique(Construction d'une Usine de Provende)</t>
  </si>
  <si>
    <t>Batiments Administratifs à Usage Technique(Construction d'une Usine de  Pêche)</t>
  </si>
  <si>
    <t>Autres(Creation d'Exploitations Agricoles et Elevages)</t>
  </si>
  <si>
    <t>Entretiens et maintenances des materiels informatiques,des machines et des matériels techniques</t>
  </si>
  <si>
    <t>Mobiliers et materiels de bureau</t>
  </si>
  <si>
    <t>Autres  de biens et services civils</t>
  </si>
  <si>
    <t>Autre matérel de transport</t>
  </si>
  <si>
    <t>Acquisition,Construction et Réparation des batiments administratifs</t>
  </si>
  <si>
    <t>Acquisition,Construction et réparation des batiments administratifs (extension du bureau CGP)</t>
  </si>
  <si>
    <t>Autres Constructions( village artisanal)</t>
  </si>
  <si>
    <t>Acquisition Construction et Réhabilitation des Batiment Administratifs à usage Technique(Construction de zones franches)</t>
  </si>
  <si>
    <t>Acquisition ,Construction et Réhabilitation de batiments administratifs</t>
  </si>
  <si>
    <t>Subventions à d'autres categories de beneficiaires</t>
  </si>
  <si>
    <t xml:space="preserve"> Electricité</t>
  </si>
  <si>
    <t xml:space="preserve">Acquisitions , Construction et Réhabilitation  des batiments administratifs </t>
  </si>
  <si>
    <t>Subventions aux Etablissements pub liées au fonctionnement</t>
  </si>
  <si>
    <t>Agence Nationale des Administrations Maritimes (ANAM)</t>
  </si>
  <si>
    <t>Subvention aux Etablissements pub liées au fonctionnement</t>
  </si>
  <si>
    <t>Subventions aux établissements publiques liée au fonctionnements</t>
  </si>
  <si>
    <t>Electricité</t>
  </si>
  <si>
    <t>Autres achat de bien et services cvils</t>
  </si>
  <si>
    <t>Autre Acquisition ,Construction et Réhabilitation ( Observatoire de Karthala)</t>
  </si>
  <si>
    <t>Eau</t>
  </si>
  <si>
    <t>Mobiliers et matériels de bureau</t>
  </si>
  <si>
    <t>Materiels Informatiques</t>
  </si>
  <si>
    <t>Mobiliers et materiel  de bureau</t>
  </si>
  <si>
    <t xml:space="preserve">Acquisition,Construction et réparation des batiments administratifs </t>
  </si>
  <si>
    <t>6611</t>
  </si>
  <si>
    <t>6682</t>
  </si>
  <si>
    <t>6683</t>
  </si>
  <si>
    <t>6135</t>
  </si>
  <si>
    <t>6051</t>
  </si>
  <si>
    <t>6052</t>
  </si>
  <si>
    <t>Eléctricité</t>
  </si>
  <si>
    <t>6152</t>
  </si>
  <si>
    <t>6161</t>
  </si>
  <si>
    <t>6111</t>
  </si>
  <si>
    <t>6175</t>
  </si>
  <si>
    <t>MINISTERE DE L'INTERIEUR, DE L'INFOR, DE LA DECENTR, CHARGE DES RELATIONS AVEC LES INSTITU</t>
  </si>
  <si>
    <t>TOTAL INSTITUTION</t>
  </si>
  <si>
    <t>Acquisition Construction et grosse réparations des batiments de centre de santé(appui pôle churigical)</t>
  </si>
  <si>
    <t>Ambassade des Comores au Koweit</t>
  </si>
  <si>
    <t>0723</t>
  </si>
  <si>
    <t>Réprésentation des Comores auprés de l'UNESCO</t>
  </si>
  <si>
    <t>Ambassade des Comores à Bruxelles/Suisse</t>
  </si>
  <si>
    <t xml:space="preserve">MINISTERE DES FINANCES ET DU BUDGET </t>
  </si>
  <si>
    <t xml:space="preserve">Cabinet Finances </t>
  </si>
  <si>
    <t>Direction Générale des Postes et Télécom</t>
  </si>
  <si>
    <t>Ecole Nationale de  Pêche</t>
  </si>
  <si>
    <t>Materiel et outillage technique (équipement contre les incendies)</t>
  </si>
  <si>
    <t>Contrat de sous- traitance avec Semlex</t>
  </si>
  <si>
    <t>Contrat de sous- traitance avec Auberture</t>
  </si>
  <si>
    <t>MINISTERE DE LA JEUNESSE, DE L'EMPLOI, DE L'INSERTON  PROFESSIONNELLE, DE LA CULTURE ET DES SPORTS</t>
  </si>
  <si>
    <t>INVESTISSEMENT SUR RESSOURCES INTERRIEURES</t>
  </si>
  <si>
    <t>MINISTERE DE LA SANTE,DE LA SOLIDARITE,DE LA PROECTION SOCIALE,ET DE LA PROMOTION DU GENRE</t>
  </si>
  <si>
    <t>MINISTERE D'ETAT GARDE DES SCAUX,JUSTICE,DE LA FOP,DE REFOMES ADM DROIT DE L'HOMME,DES AFFAIRES ISLAMIQUES</t>
  </si>
  <si>
    <t>MINISTERE DES AFFAIRES ETRANGERS ET DE LA COOPERATION INERNATIONALE,CHARGE DES COMORIENS A L'ETRANGER</t>
  </si>
  <si>
    <t>MINISTERE DES FINANCES ET DU BUDGET</t>
  </si>
  <si>
    <t>VICE PRESIDENCE CHARGE DU MINISTERE DES TRANSPORTS,DES POSTES ET TELECOM</t>
  </si>
  <si>
    <t>VICE PRESIDENCE CHARGE DU MINISTERE DE L'AGRICULTURE,DE LA PECHE,DE L'ENVIRONNEMENT,DE L'AMENAGEMENT DU TERRITOIRE ET DE L'URBANISME</t>
  </si>
  <si>
    <t>VICE PRESIDENCE CHARGE DU MINISTERE DE L'ECONOMIE,DU PLAN,DE L'ARTISANAT,DU TOURISME,DES INVESTISSEMENTS,DU SECTEUR PRIVE ET DES AFFAIRES FONCIERES</t>
  </si>
  <si>
    <t xml:space="preserve">EDUCATION NATIONALE, DEL'ENSEIGNEMENT ,DE LA RECHERCHE, ET DES ARTS, </t>
  </si>
  <si>
    <t>MINISTERE DE LA JEUNESSE,DE L'EMPLOI,DE L'INSERTION PROFESSIONNELLE,DE LA CULTURE ET DES SPORTS</t>
  </si>
  <si>
    <t>0452</t>
  </si>
  <si>
    <t>Contrat de sous- traitance avec Oberture</t>
  </si>
  <si>
    <t>6013</t>
  </si>
  <si>
    <t xml:space="preserve">Autre Acquisition ,Construction et Réhabilitation </t>
  </si>
  <si>
    <t>Creation d'Exploitations Agricoles et Elevages</t>
  </si>
  <si>
    <t>Dettes avalisée -administration Publique</t>
  </si>
  <si>
    <t>FO.C.A.D</t>
  </si>
  <si>
    <t>Frais de recherche,de developpement et d'études</t>
  </si>
  <si>
    <t>Acquisition,Construction et Réparation des batiments administratifs à usage touriristique (Galawa)</t>
  </si>
  <si>
    <t>Construction de Gares Routières</t>
  </si>
  <si>
    <t xml:space="preserve"> Construction d'écoles professionnelles</t>
  </si>
  <si>
    <t>Construction CERMA</t>
  </si>
  <si>
    <t>Construction d'écoles professionnelles</t>
  </si>
  <si>
    <t>Construction d'écoles professionnelles)</t>
  </si>
  <si>
    <t>Matériels de santé et hospitaliers</t>
  </si>
  <si>
    <t>TOTAL INSTIUTION</t>
  </si>
  <si>
    <t>0724</t>
  </si>
  <si>
    <r>
      <t>Tribunal de 1</t>
    </r>
    <r>
      <rPr>
        <b/>
        <i/>
        <vertAlign val="superscript"/>
        <sz val="12"/>
        <rFont val="Comic Sans MS"/>
        <family val="4"/>
      </rPr>
      <t>ère</t>
    </r>
    <r>
      <rPr>
        <b/>
        <i/>
        <sz val="12"/>
        <rFont val="Comic Sans MS"/>
        <family val="4"/>
      </rPr>
      <t xml:space="preserve"> Instance Moroni</t>
    </r>
  </si>
  <si>
    <r>
      <t>Tribunal de 1</t>
    </r>
    <r>
      <rPr>
        <b/>
        <i/>
        <vertAlign val="superscript"/>
        <sz val="12"/>
        <rFont val="Comic Sans MS"/>
        <family val="4"/>
      </rPr>
      <t>ère</t>
    </r>
    <r>
      <rPr>
        <b/>
        <i/>
        <sz val="12"/>
        <rFont val="Comic Sans MS"/>
        <family val="4"/>
      </rPr>
      <t xml:space="preserve"> Instance à Anjouan</t>
    </r>
  </si>
  <si>
    <r>
      <t>Tribunal de 1</t>
    </r>
    <r>
      <rPr>
        <b/>
        <i/>
        <vertAlign val="superscript"/>
        <sz val="12"/>
        <rFont val="Comic Sans MS"/>
        <family val="4"/>
      </rPr>
      <t>ère</t>
    </r>
    <r>
      <rPr>
        <b/>
        <i/>
        <sz val="12"/>
        <rFont val="Comic Sans MS"/>
        <family val="4"/>
      </rPr>
      <t xml:space="preserve"> Instance à Mohéli</t>
    </r>
  </si>
  <si>
    <t xml:space="preserve">Construction de centres électriques </t>
  </si>
  <si>
    <t>LdFR2017</t>
  </si>
  <si>
    <t>LdFI2017</t>
  </si>
  <si>
    <t xml:space="preserve"> LdFR2017</t>
  </si>
  <si>
    <t>1016</t>
  </si>
  <si>
    <t>Office National de la vanille</t>
  </si>
  <si>
    <t>VICE PRESIDENCE CHARGE DU MINISTERE DE LA PRODUCTION</t>
  </si>
  <si>
    <t>LDFI</t>
  </si>
  <si>
    <t>LDFR</t>
  </si>
  <si>
    <t>SALAIRE</t>
  </si>
  <si>
    <t>ECART</t>
  </si>
  <si>
    <t>BIENS ET SERVICE</t>
  </si>
  <si>
    <t>TRANSFERT</t>
  </si>
  <si>
    <t>INVESTISSEMENT</t>
  </si>
  <si>
    <t>Ministère</t>
  </si>
  <si>
    <t>VICE PRESIDENCE CHARGE DU MINISTERE DE L'ECONOMIE,DU PLAN,</t>
  </si>
  <si>
    <t>MINISTERE D'ETAT GARDE DES SCAUX,JUSTICE,</t>
  </si>
  <si>
    <t>1220</t>
  </si>
  <si>
    <t>Agence Natioale de Conception et d'éxécution des Projets</t>
  </si>
  <si>
    <t>Subvention liée au fonctionnement</t>
  </si>
  <si>
    <t>0414</t>
  </si>
  <si>
    <t>Cotisations sociales non ventilées</t>
  </si>
  <si>
    <t>6643</t>
  </si>
  <si>
    <t>0725</t>
  </si>
  <si>
    <t>Agence de la Cooperation Internationale</t>
  </si>
  <si>
    <t>0520</t>
  </si>
  <si>
    <t>Agencedes medicamants</t>
  </si>
  <si>
    <t>OCOPHARMA</t>
  </si>
  <si>
    <t>LdFi2017</t>
  </si>
  <si>
    <t>PREVISION LdFR 2017</t>
  </si>
  <si>
    <t>,</t>
  </si>
  <si>
    <t>,+++++++++++++++++++++++++++++++++++++++++++++++++++++++++++++++++++++++++++++++++++++++++++++++++++++++++++++++++++++++++++++++++++++++++++++++++</t>
  </si>
  <si>
    <t>Autres charges exceptionnelles</t>
  </si>
  <si>
    <t>prêts et avances aux institutions financières</t>
  </si>
  <si>
    <t>0490</t>
  </si>
  <si>
    <t>en moins/en plus</t>
  </si>
  <si>
    <t>Budget final</t>
  </si>
  <si>
    <t>Exécution 2017</t>
  </si>
  <si>
    <t>en plus/en moins</t>
  </si>
  <si>
    <t>Rémunération du personnel</t>
  </si>
  <si>
    <t>prévision</t>
  </si>
  <si>
    <t>Ordonnancement</t>
  </si>
  <si>
    <t>Biens et Services</t>
  </si>
  <si>
    <t>Transfert</t>
  </si>
  <si>
    <t>Investissement</t>
  </si>
  <si>
    <t>Prévision</t>
  </si>
  <si>
    <t>Ordonnancement2</t>
  </si>
  <si>
    <t>prévision2</t>
  </si>
  <si>
    <t>Prévision3</t>
  </si>
  <si>
    <t>Ordonnancement3</t>
  </si>
  <si>
    <t>prévision4</t>
  </si>
  <si>
    <t>Ordonnancement4</t>
  </si>
  <si>
    <t>Taux d'execution/Execution Total</t>
  </si>
  <si>
    <t>Taux d'ordonnancement</t>
  </si>
  <si>
    <t>Taux d'ordonnancement2</t>
  </si>
  <si>
    <t>Taux d'ordonnancement3</t>
  </si>
  <si>
    <t>Taux d'ordonnancement4</t>
  </si>
  <si>
    <t>Total Ordonnancement</t>
  </si>
  <si>
    <t>Taux d'Ord</t>
  </si>
  <si>
    <t>TOTAL ordonnancement</t>
  </si>
  <si>
    <t xml:space="preserve">           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</si>
</sst>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_-* #,##0\ _€_-;\-* #,##0\ _€_-;_-* &quot;-&quot;??\ _€_-;_-@_-"/>
    <numFmt numFmtId="173" formatCode="0.0000"/>
    <numFmt numFmtId="174" formatCode="0.000%"/>
    <numFmt numFmtId="175" formatCode="0.000000%"/>
    <numFmt numFmtId="176" formatCode="0.0%"/>
    <numFmt numFmtId="177" formatCode="_-* #,##0.0\ _€_-;\-* #,##0.0\ _€_-;_-* &quot;-&quot;??\ _€_-;_-@_-"/>
    <numFmt numFmtId="178" formatCode="[$-436]dd\ mmmm\ yyyy"/>
    <numFmt numFmtId="179" formatCode="[$-436]hh:mm:ss\ AM/PM"/>
    <numFmt numFmtId="180" formatCode="#,##0.0"/>
    <numFmt numFmtId="181" formatCode="_-* #,##0.000\ _€_-;\-* #,##0.000\ _€_-;_-* &quot;-&quot;??\ _€_-;_-@_-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[$-40C]dddd\ d\ mmmm\ yyyy"/>
    <numFmt numFmtId="196" formatCode="_-* #,##0.0000\ _€_-;\-* #,##0.0000\ _€_-;_-* &quot;-&quot;??\ _€_-;_-@_-"/>
    <numFmt numFmtId="197" formatCode="0_ ;\-0\ 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b/>
      <sz val="10"/>
      <name val="Arial"/>
      <family val="2"/>
    </font>
    <font>
      <sz val="13"/>
      <name val="Arial"/>
      <family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sz val="11"/>
      <name val="Comic Sans MS"/>
      <family val="4"/>
    </font>
    <font>
      <b/>
      <sz val="11"/>
      <name val="Comic Sans MS"/>
      <family val="4"/>
    </font>
    <font>
      <sz val="12"/>
      <name val="Comic Sans MS"/>
      <family val="4"/>
    </font>
    <font>
      <i/>
      <sz val="11"/>
      <name val="Comic Sans MS"/>
      <family val="4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4"/>
      <name val="Comic Sans MS"/>
      <family val="4"/>
    </font>
    <font>
      <b/>
      <i/>
      <sz val="14"/>
      <name val="Times New Roman"/>
      <family val="1"/>
    </font>
    <font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i/>
      <sz val="12"/>
      <name val="Comic Sans MS"/>
      <family val="4"/>
    </font>
    <font>
      <i/>
      <sz val="12"/>
      <name val="Comic Sans MS"/>
      <family val="4"/>
    </font>
    <font>
      <b/>
      <sz val="12"/>
      <name val="Comic Sans MS"/>
      <family val="4"/>
    </font>
    <font>
      <b/>
      <i/>
      <vertAlign val="superscript"/>
      <sz val="12"/>
      <name val="Comic Sans MS"/>
      <family val="4"/>
    </font>
    <font>
      <b/>
      <i/>
      <sz val="11"/>
      <name val="Comic Sans MS"/>
      <family val="4"/>
    </font>
    <font>
      <b/>
      <sz val="11"/>
      <name val="Calisto MT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sz val="12"/>
      <color indexed="8"/>
      <name val="Arial"/>
      <family val="2"/>
    </font>
    <font>
      <sz val="12"/>
      <name val="Calibri"/>
      <family val="2"/>
    </font>
    <font>
      <sz val="12"/>
      <color indexed="17"/>
      <name val="Comic Sans MS"/>
      <family val="4"/>
    </font>
    <font>
      <b/>
      <sz val="12"/>
      <name val="Calibri"/>
      <family val="2"/>
    </font>
    <font>
      <sz val="18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sto MT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2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2"/>
      <color rgb="FF000000"/>
      <name val="Comic Sans MS"/>
      <family val="4"/>
    </font>
    <font>
      <sz val="11"/>
      <color rgb="FF000000"/>
      <name val="Comic Sans MS"/>
      <family val="4"/>
    </font>
    <font>
      <b/>
      <i/>
      <sz val="11"/>
      <color rgb="FF000000"/>
      <name val="Comic Sans MS"/>
      <family val="4"/>
    </font>
    <font>
      <b/>
      <i/>
      <sz val="12"/>
      <color rgb="FF000000"/>
      <name val="Comic Sans MS"/>
      <family val="4"/>
    </font>
    <font>
      <sz val="12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Arial"/>
      <family val="2"/>
    </font>
    <font>
      <b/>
      <i/>
      <sz val="12"/>
      <color theme="1"/>
      <name val="Comic Sans MS"/>
      <family val="4"/>
    </font>
    <font>
      <sz val="12"/>
      <color rgb="FF00B050"/>
      <name val="Comic Sans MS"/>
      <family val="4"/>
    </font>
    <font>
      <sz val="18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theme="1"/>
      <name val="Calisto MT"/>
      <family val="1"/>
    </font>
    <font>
      <b/>
      <sz val="8"/>
      <name val="Calibri"/>
      <family val="2"/>
    </font>
  </fonts>
  <fills count="10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rgb="FFFFFFFF"/>
        </stop>
        <stop position="1">
          <color rgb="FFFFFFFF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6" borderId="1" applyNumberFormat="0" applyAlignment="0" applyProtection="0"/>
    <xf numFmtId="0" fontId="91" fillId="0" borderId="2" applyNumberFormat="0" applyFill="0" applyAlignment="0" applyProtection="0"/>
    <xf numFmtId="0" fontId="0" fillId="27" borderId="3" applyNumberFormat="0" applyFont="0" applyAlignment="0" applyProtection="0"/>
    <xf numFmtId="0" fontId="92" fillId="28" borderId="1" applyNumberFormat="0" applyAlignment="0" applyProtection="0"/>
    <xf numFmtId="44" fontId="2" fillId="0" borderId="0" applyFont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6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56" applyFont="1" applyAlignment="1">
      <alignment/>
    </xf>
    <xf numFmtId="10" fontId="0" fillId="0" borderId="0" xfId="56" applyNumberFormat="1" applyFont="1" applyAlignment="1">
      <alignment/>
    </xf>
    <xf numFmtId="0" fontId="10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5" fillId="34" borderId="0" xfId="0" applyFont="1" applyFill="1" applyAlignment="1">
      <alignment/>
    </xf>
    <xf numFmtId="0" fontId="66" fillId="35" borderId="10" xfId="0" applyFont="1" applyFill="1" applyBorder="1" applyAlignment="1">
      <alignment/>
    </xf>
    <xf numFmtId="0" fontId="66" fillId="35" borderId="11" xfId="0" applyFont="1" applyFill="1" applyBorder="1" applyAlignment="1">
      <alignment/>
    </xf>
    <xf numFmtId="49" fontId="107" fillId="36" borderId="12" xfId="0" applyNumberFormat="1" applyFont="1" applyFill="1" applyBorder="1" applyAlignment="1">
      <alignment/>
    </xf>
    <xf numFmtId="0" fontId="107" fillId="36" borderId="12" xfId="0" applyFont="1" applyFill="1" applyBorder="1" applyAlignment="1">
      <alignment horizontal="center"/>
    </xf>
    <xf numFmtId="0" fontId="108" fillId="36" borderId="13" xfId="0" applyFont="1" applyFill="1" applyBorder="1" applyAlignment="1">
      <alignment/>
    </xf>
    <xf numFmtId="49" fontId="109" fillId="37" borderId="12" xfId="0" applyNumberFormat="1" applyFont="1" applyFill="1" applyBorder="1" applyAlignment="1">
      <alignment/>
    </xf>
    <xf numFmtId="0" fontId="19" fillId="37" borderId="12" xfId="54" applyFont="1" applyFill="1" applyBorder="1" applyAlignment="1">
      <alignment horizontal="center"/>
      <protection/>
    </xf>
    <xf numFmtId="0" fontId="19" fillId="37" borderId="12" xfId="54" applyFont="1" applyFill="1" applyBorder="1" applyAlignment="1">
      <alignment vertical="center"/>
      <protection/>
    </xf>
    <xf numFmtId="3" fontId="108" fillId="37" borderId="13" xfId="0" applyNumberFormat="1" applyFont="1" applyFill="1" applyBorder="1" applyAlignment="1">
      <alignment/>
    </xf>
    <xf numFmtId="49" fontId="109" fillId="36" borderId="12" xfId="0" applyNumberFormat="1" applyFont="1" applyFill="1" applyBorder="1" applyAlignment="1">
      <alignment/>
    </xf>
    <xf numFmtId="0" fontId="20" fillId="36" borderId="12" xfId="54" applyFont="1" applyFill="1" applyBorder="1" applyAlignment="1">
      <alignment horizontal="center"/>
      <protection/>
    </xf>
    <xf numFmtId="0" fontId="19" fillId="36" borderId="12" xfId="54" applyFont="1" applyFill="1" applyBorder="1" applyAlignment="1">
      <alignment vertical="center"/>
      <protection/>
    </xf>
    <xf numFmtId="3" fontId="110" fillId="36" borderId="13" xfId="0" applyNumberFormat="1" applyFont="1" applyFill="1" applyBorder="1" applyAlignment="1">
      <alignment/>
    </xf>
    <xf numFmtId="0" fontId="19" fillId="36" borderId="12" xfId="54" applyFont="1" applyFill="1" applyBorder="1" applyAlignment="1">
      <alignment horizontal="center"/>
      <protection/>
    </xf>
    <xf numFmtId="0" fontId="20" fillId="37" borderId="12" xfId="54" applyFont="1" applyFill="1" applyBorder="1" applyAlignment="1">
      <alignment horizontal="center"/>
      <protection/>
    </xf>
    <xf numFmtId="3" fontId="110" fillId="37" borderId="13" xfId="0" applyNumberFormat="1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107" fillId="37" borderId="12" xfId="0" applyFont="1" applyFill="1" applyBorder="1" applyAlignment="1">
      <alignment horizontal="center"/>
    </xf>
    <xf numFmtId="0" fontId="19" fillId="36" borderId="12" xfId="0" applyFont="1" applyFill="1" applyBorder="1" applyAlignment="1">
      <alignment horizontal="center"/>
    </xf>
    <xf numFmtId="0" fontId="109" fillId="37" borderId="12" xfId="0" applyFont="1" applyFill="1" applyBorder="1" applyAlignment="1">
      <alignment/>
    </xf>
    <xf numFmtId="0" fontId="109" fillId="36" borderId="12" xfId="0" applyFont="1" applyFill="1" applyBorder="1" applyAlignment="1">
      <alignment/>
    </xf>
    <xf numFmtId="49" fontId="107" fillId="37" borderId="12" xfId="0" applyNumberFormat="1" applyFont="1" applyFill="1" applyBorder="1" applyAlignment="1">
      <alignment/>
    </xf>
    <xf numFmtId="0" fontId="20" fillId="36" borderId="12" xfId="0" applyFont="1" applyFill="1" applyBorder="1" applyAlignment="1">
      <alignment/>
    </xf>
    <xf numFmtId="0" fontId="20" fillId="36" borderId="12" xfId="0" applyFont="1" applyFill="1" applyBorder="1" applyAlignment="1">
      <alignment horizontal="left"/>
    </xf>
    <xf numFmtId="49" fontId="107" fillId="37" borderId="14" xfId="0" applyNumberFormat="1" applyFont="1" applyFill="1" applyBorder="1" applyAlignment="1">
      <alignment/>
    </xf>
    <xf numFmtId="0" fontId="19" fillId="37" borderId="12" xfId="54" applyFont="1" applyFill="1" applyBorder="1" applyAlignment="1">
      <alignment horizontal="right"/>
      <protection/>
    </xf>
    <xf numFmtId="0" fontId="19" fillId="36" borderId="12" xfId="0" applyFont="1" applyFill="1" applyBorder="1" applyAlignment="1">
      <alignment horizontal="right"/>
    </xf>
    <xf numFmtId="0" fontId="109" fillId="37" borderId="12" xfId="0" applyFont="1" applyFill="1" applyBorder="1" applyAlignment="1">
      <alignment horizontal="right"/>
    </xf>
    <xf numFmtId="0" fontId="19" fillId="37" borderId="12" xfId="0" applyFont="1" applyFill="1" applyBorder="1" applyAlignment="1">
      <alignment horizontal="right"/>
    </xf>
    <xf numFmtId="49" fontId="19" fillId="37" borderId="12" xfId="50" applyNumberFormat="1" applyFont="1" applyFill="1" applyBorder="1" applyAlignment="1">
      <alignment horizontal="right"/>
    </xf>
    <xf numFmtId="0" fontId="19" fillId="37" borderId="12" xfId="0" applyFont="1" applyFill="1" applyBorder="1" applyAlignment="1">
      <alignment/>
    </xf>
    <xf numFmtId="0" fontId="19" fillId="36" borderId="12" xfId="0" applyFont="1" applyFill="1" applyBorder="1" applyAlignment="1">
      <alignment/>
    </xf>
    <xf numFmtId="0" fontId="109" fillId="37" borderId="12" xfId="0" applyFont="1" applyFill="1" applyBorder="1" applyAlignment="1">
      <alignment/>
    </xf>
    <xf numFmtId="49" fontId="107" fillId="37" borderId="14" xfId="0" applyNumberFormat="1" applyFont="1" applyFill="1" applyBorder="1" applyAlignment="1">
      <alignment/>
    </xf>
    <xf numFmtId="0" fontId="109" fillId="36" borderId="12" xfId="0" applyFont="1" applyFill="1" applyBorder="1" applyAlignment="1">
      <alignment horizontal="right"/>
    </xf>
    <xf numFmtId="0" fontId="19" fillId="36" borderId="12" xfId="54" applyFont="1" applyFill="1" applyBorder="1" applyAlignment="1">
      <alignment horizontal="right"/>
      <protection/>
    </xf>
    <xf numFmtId="49" fontId="107" fillId="37" borderId="12" xfId="0" applyNumberFormat="1" applyFont="1" applyFill="1" applyBorder="1" applyAlignment="1">
      <alignment/>
    </xf>
    <xf numFmtId="3" fontId="108" fillId="37" borderId="15" xfId="0" applyNumberFormat="1" applyFont="1" applyFill="1" applyBorder="1" applyAlignment="1">
      <alignment/>
    </xf>
    <xf numFmtId="3" fontId="108" fillId="36" borderId="15" xfId="0" applyNumberFormat="1" applyFont="1" applyFill="1" applyBorder="1" applyAlignment="1">
      <alignment/>
    </xf>
    <xf numFmtId="3" fontId="111" fillId="33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19" fillId="34" borderId="0" xfId="0" applyFont="1" applyFill="1" applyAlignment="1">
      <alignment horizontal="right"/>
    </xf>
    <xf numFmtId="0" fontId="19" fillId="36" borderId="12" xfId="50" applyNumberFormat="1" applyFont="1" applyFill="1" applyBorder="1" applyAlignment="1">
      <alignment horizontal="right"/>
    </xf>
    <xf numFmtId="49" fontId="19" fillId="36" borderId="12" xfId="50" applyNumberFormat="1" applyFont="1" applyFill="1" applyBorder="1" applyAlignment="1">
      <alignment horizontal="right"/>
    </xf>
    <xf numFmtId="0" fontId="19" fillId="37" borderId="12" xfId="50" applyNumberFormat="1" applyFont="1" applyFill="1" applyBorder="1" applyAlignment="1">
      <alignment horizontal="right"/>
    </xf>
    <xf numFmtId="1" fontId="20" fillId="37" borderId="12" xfId="0" applyNumberFormat="1" applyFont="1" applyFill="1" applyBorder="1" applyAlignment="1">
      <alignment horizontal="right"/>
    </xf>
    <xf numFmtId="0" fontId="20" fillId="37" borderId="12" xfId="0" applyFont="1" applyFill="1" applyBorder="1" applyAlignment="1">
      <alignment/>
    </xf>
    <xf numFmtId="0" fontId="20" fillId="37" borderId="14" xfId="54" applyFont="1" applyFill="1" applyBorder="1" applyAlignment="1">
      <alignment horizontal="center"/>
      <protection/>
    </xf>
    <xf numFmtId="0" fontId="19" fillId="36" borderId="15" xfId="0" applyFont="1" applyFill="1" applyBorder="1" applyAlignment="1">
      <alignment/>
    </xf>
    <xf numFmtId="3" fontId="112" fillId="33" borderId="0" xfId="0" applyNumberFormat="1" applyFont="1" applyFill="1" applyAlignment="1">
      <alignment horizontal="center"/>
    </xf>
    <xf numFmtId="0" fontId="19" fillId="37" borderId="15" xfId="0" applyFont="1" applyFill="1" applyBorder="1" applyAlignment="1">
      <alignment/>
    </xf>
    <xf numFmtId="0" fontId="19" fillId="36" borderId="12" xfId="54" applyFont="1" applyFill="1" applyBorder="1" applyAlignment="1">
      <alignment/>
      <protection/>
    </xf>
    <xf numFmtId="0" fontId="19" fillId="36" borderId="15" xfId="0" applyFont="1" applyFill="1" applyBorder="1" applyAlignment="1">
      <alignment horizontal="right"/>
    </xf>
    <xf numFmtId="0" fontId="19" fillId="37" borderId="15" xfId="0" applyFont="1" applyFill="1" applyBorder="1" applyAlignment="1">
      <alignment/>
    </xf>
    <xf numFmtId="172" fontId="19" fillId="37" borderId="15" xfId="50" applyNumberFormat="1" applyFont="1" applyFill="1" applyBorder="1" applyAlignment="1">
      <alignment horizontal="left"/>
    </xf>
    <xf numFmtId="3" fontId="8" fillId="33" borderId="0" xfId="0" applyNumberFormat="1" applyFont="1" applyFill="1" applyAlignment="1">
      <alignment horizontal="center"/>
    </xf>
    <xf numFmtId="49" fontId="107" fillId="37" borderId="12" xfId="0" applyNumberFormat="1" applyFont="1" applyFill="1" applyBorder="1" applyAlignment="1">
      <alignment/>
    </xf>
    <xf numFmtId="3" fontId="113" fillId="0" borderId="0" xfId="0" applyNumberFormat="1" applyFont="1" applyAlignment="1">
      <alignment/>
    </xf>
    <xf numFmtId="172" fontId="6" fillId="34" borderId="0" xfId="50" applyNumberFormat="1" applyFont="1" applyFill="1" applyAlignment="1">
      <alignment/>
    </xf>
    <xf numFmtId="0" fontId="6" fillId="34" borderId="0" xfId="54" applyFont="1" applyFill="1" applyBorder="1" applyAlignment="1">
      <alignment/>
      <protection/>
    </xf>
    <xf numFmtId="0" fontId="16" fillId="33" borderId="0" xfId="0" applyFont="1" applyFill="1" applyAlignment="1">
      <alignment/>
    </xf>
    <xf numFmtId="0" fontId="114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38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182" fontId="0" fillId="40" borderId="0" xfId="0" applyNumberFormat="1" applyFont="1" applyFill="1" applyBorder="1" applyAlignment="1">
      <alignment/>
    </xf>
    <xf numFmtId="3" fontId="7" fillId="41" borderId="0" xfId="0" applyNumberFormat="1" applyFont="1" applyFill="1" applyBorder="1" applyAlignment="1">
      <alignment/>
    </xf>
    <xf numFmtId="3" fontId="115" fillId="42" borderId="0" xfId="0" applyNumberFormat="1" applyFont="1" applyFill="1" applyBorder="1" applyAlignment="1">
      <alignment/>
    </xf>
    <xf numFmtId="3" fontId="116" fillId="43" borderId="0" xfId="0" applyNumberFormat="1" applyFont="1" applyFill="1" applyBorder="1" applyAlignment="1">
      <alignment/>
    </xf>
    <xf numFmtId="0" fontId="117" fillId="44" borderId="0" xfId="0" applyFont="1" applyFill="1" applyBorder="1" applyAlignment="1">
      <alignment/>
    </xf>
    <xf numFmtId="3" fontId="117" fillId="4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14" fillId="33" borderId="15" xfId="0" applyFont="1" applyFill="1" applyBorder="1" applyAlignment="1">
      <alignment/>
    </xf>
    <xf numFmtId="0" fontId="6" fillId="33" borderId="15" xfId="54" applyNumberFormat="1" applyFont="1" applyFill="1" applyBorder="1" applyAlignment="1">
      <alignment/>
      <protection/>
    </xf>
    <xf numFmtId="0" fontId="19" fillId="37" borderId="15" xfId="54" applyNumberFormat="1" applyFont="1" applyFill="1" applyBorder="1" applyAlignment="1">
      <alignment vertical="center"/>
      <protection/>
    </xf>
    <xf numFmtId="0" fontId="19" fillId="36" borderId="15" xfId="54" applyNumberFormat="1" applyFont="1" applyFill="1" applyBorder="1" applyAlignment="1">
      <alignment vertical="center"/>
      <protection/>
    </xf>
    <xf numFmtId="0" fontId="19" fillId="36" borderId="15" xfId="0" applyFont="1" applyFill="1" applyBorder="1" applyAlignment="1">
      <alignment horizontal="center"/>
    </xf>
    <xf numFmtId="0" fontId="19" fillId="37" borderId="15" xfId="0" applyFont="1" applyFill="1" applyBorder="1" applyAlignment="1">
      <alignment horizontal="center"/>
    </xf>
    <xf numFmtId="172" fontId="19" fillId="36" borderId="15" xfId="50" applyNumberFormat="1" applyFont="1" applyFill="1" applyBorder="1" applyAlignment="1">
      <alignment horizontal="left"/>
    </xf>
    <xf numFmtId="3" fontId="6" fillId="33" borderId="15" xfId="0" applyNumberFormat="1" applyFont="1" applyFill="1" applyBorder="1" applyAlignment="1">
      <alignment horizontal="left"/>
    </xf>
    <xf numFmtId="3" fontId="6" fillId="33" borderId="15" xfId="0" applyNumberFormat="1" applyFont="1" applyFill="1" applyBorder="1" applyAlignment="1">
      <alignment/>
    </xf>
    <xf numFmtId="0" fontId="110" fillId="0" borderId="0" xfId="0" applyFont="1" applyAlignment="1">
      <alignment horizontal="center"/>
    </xf>
    <xf numFmtId="3" fontId="118" fillId="0" borderId="0" xfId="0" applyNumberFormat="1" applyFont="1" applyAlignment="1">
      <alignment/>
    </xf>
    <xf numFmtId="0" fontId="119" fillId="33" borderId="15" xfId="0" applyFont="1" applyFill="1" applyBorder="1" applyAlignment="1">
      <alignment horizontal="center"/>
    </xf>
    <xf numFmtId="3" fontId="22" fillId="34" borderId="0" xfId="56" applyNumberFormat="1" applyFont="1" applyFill="1" applyAlignment="1">
      <alignment horizontal="center"/>
    </xf>
    <xf numFmtId="0" fontId="114" fillId="33" borderId="1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114" fillId="34" borderId="15" xfId="0" applyFont="1" applyFill="1" applyBorder="1" applyAlignment="1">
      <alignment/>
    </xf>
    <xf numFmtId="3" fontId="23" fillId="34" borderId="0" xfId="0" applyNumberFormat="1" applyFont="1" applyFill="1" applyAlignment="1">
      <alignment horizontal="center"/>
    </xf>
    <xf numFmtId="0" fontId="29" fillId="46" borderId="0" xfId="0" applyFont="1" applyFill="1" applyBorder="1" applyAlignment="1">
      <alignment vertical="center"/>
    </xf>
    <xf numFmtId="0" fontId="29" fillId="47" borderId="0" xfId="0" applyFont="1" applyFill="1" applyBorder="1" applyAlignment="1">
      <alignment/>
    </xf>
    <xf numFmtId="3" fontId="30" fillId="48" borderId="0" xfId="0" applyNumberFormat="1" applyFont="1" applyFill="1" applyBorder="1" applyAlignment="1">
      <alignment vertical="center"/>
    </xf>
    <xf numFmtId="3" fontId="30" fillId="49" borderId="0" xfId="0" applyNumberFormat="1" applyFont="1" applyFill="1" applyBorder="1" applyAlignment="1">
      <alignment vertical="center" wrapText="1"/>
    </xf>
    <xf numFmtId="3" fontId="30" fillId="50" borderId="0" xfId="0" applyNumberFormat="1" applyFont="1" applyFill="1" applyBorder="1" applyAlignment="1">
      <alignment wrapText="1"/>
    </xf>
    <xf numFmtId="3" fontId="30" fillId="51" borderId="0" xfId="0" applyNumberFormat="1" applyFont="1" applyFill="1" applyBorder="1" applyAlignment="1">
      <alignment horizontal="center"/>
    </xf>
    <xf numFmtId="3" fontId="30" fillId="52" borderId="0" xfId="0" applyNumberFormat="1" applyFont="1" applyFill="1" applyBorder="1" applyAlignment="1">
      <alignment horizontal="center" vertical="center" wrapText="1"/>
    </xf>
    <xf numFmtId="0" fontId="120" fillId="53" borderId="0" xfId="0" applyFont="1" applyFill="1" applyBorder="1" applyAlignment="1">
      <alignment/>
    </xf>
    <xf numFmtId="0" fontId="120" fillId="54" borderId="0" xfId="0" applyNumberFormat="1" applyFont="1" applyFill="1" applyBorder="1" applyAlignment="1">
      <alignment/>
    </xf>
    <xf numFmtId="3" fontId="120" fillId="55" borderId="0" xfId="0" applyNumberFormat="1" applyFont="1" applyFill="1" applyBorder="1" applyAlignment="1">
      <alignment/>
    </xf>
    <xf numFmtId="180" fontId="120" fillId="56" borderId="0" xfId="0" applyNumberFormat="1" applyFont="1" applyFill="1" applyBorder="1" applyAlignment="1">
      <alignment/>
    </xf>
    <xf numFmtId="3" fontId="29" fillId="57" borderId="0" xfId="0" applyNumberFormat="1" applyFont="1" applyFill="1" applyBorder="1" applyAlignment="1">
      <alignment/>
    </xf>
    <xf numFmtId="49" fontId="120" fillId="58" borderId="0" xfId="0" applyNumberFormat="1" applyFont="1" applyFill="1" applyBorder="1" applyAlignment="1">
      <alignment/>
    </xf>
    <xf numFmtId="0" fontId="29" fillId="59" borderId="0" xfId="54" applyNumberFormat="1" applyFont="1" applyFill="1" applyBorder="1" applyAlignment="1">
      <alignment vertical="center"/>
      <protection/>
    </xf>
    <xf numFmtId="49" fontId="121" fillId="60" borderId="0" xfId="0" applyNumberFormat="1" applyFont="1" applyFill="1" applyBorder="1" applyAlignment="1">
      <alignment/>
    </xf>
    <xf numFmtId="3" fontId="29" fillId="61" borderId="0" xfId="54" applyNumberFormat="1" applyFont="1" applyFill="1" applyBorder="1" applyAlignment="1">
      <alignment vertical="center"/>
      <protection/>
    </xf>
    <xf numFmtId="3" fontId="121" fillId="62" borderId="0" xfId="0" applyNumberFormat="1" applyFont="1" applyFill="1" applyBorder="1" applyAlignment="1">
      <alignment/>
    </xf>
    <xf numFmtId="0" fontId="30" fillId="63" borderId="0" xfId="0" applyFont="1" applyFill="1" applyBorder="1" applyAlignment="1">
      <alignment horizontal="left"/>
    </xf>
    <xf numFmtId="3" fontId="30" fillId="64" borderId="0" xfId="0" applyNumberFormat="1" applyFont="1" applyFill="1" applyBorder="1" applyAlignment="1">
      <alignment/>
    </xf>
    <xf numFmtId="0" fontId="30" fillId="65" borderId="0" xfId="0" applyNumberFormat="1" applyFont="1" applyFill="1" applyBorder="1" applyAlignment="1">
      <alignment horizontal="left"/>
    </xf>
    <xf numFmtId="3" fontId="30" fillId="66" borderId="0" xfId="0" applyNumberFormat="1" applyFont="1" applyFill="1" applyBorder="1" applyAlignment="1">
      <alignment horizontal="right"/>
    </xf>
    <xf numFmtId="0" fontId="121" fillId="67" borderId="0" xfId="0" applyFont="1" applyFill="1" applyBorder="1" applyAlignment="1">
      <alignment/>
    </xf>
    <xf numFmtId="0" fontId="121" fillId="68" borderId="0" xfId="0" applyNumberFormat="1" applyFont="1" applyFill="1" applyBorder="1" applyAlignment="1">
      <alignment/>
    </xf>
    <xf numFmtId="0" fontId="120" fillId="0" borderId="0" xfId="0" applyFont="1" applyBorder="1" applyAlignment="1">
      <alignment/>
    </xf>
    <xf numFmtId="3" fontId="120" fillId="0" borderId="0" xfId="0" applyNumberFormat="1" applyFont="1" applyBorder="1" applyAlignment="1">
      <alignment/>
    </xf>
    <xf numFmtId="0" fontId="120" fillId="69" borderId="0" xfId="0" applyFont="1" applyFill="1" applyBorder="1" applyAlignment="1">
      <alignment/>
    </xf>
    <xf numFmtId="0" fontId="122" fillId="70" borderId="0" xfId="0" applyFont="1" applyFill="1" applyBorder="1" applyAlignment="1">
      <alignment/>
    </xf>
    <xf numFmtId="0" fontId="120" fillId="71" borderId="0" xfId="0" applyNumberFormat="1" applyFont="1" applyFill="1" applyBorder="1" applyAlignment="1">
      <alignment/>
    </xf>
    <xf numFmtId="3" fontId="31" fillId="72" borderId="0" xfId="0" applyNumberFormat="1" applyFont="1" applyFill="1" applyBorder="1" applyAlignment="1">
      <alignment/>
    </xf>
    <xf numFmtId="4" fontId="120" fillId="73" borderId="0" xfId="0" applyNumberFormat="1" applyFont="1" applyFill="1" applyBorder="1" applyAlignment="1">
      <alignment/>
    </xf>
    <xf numFmtId="180" fontId="120" fillId="74" borderId="0" xfId="0" applyNumberFormat="1" applyFont="1" applyFill="1" applyBorder="1" applyAlignment="1">
      <alignment/>
    </xf>
    <xf numFmtId="3" fontId="120" fillId="75" borderId="0" xfId="0" applyNumberFormat="1" applyFont="1" applyFill="1" applyBorder="1" applyAlignment="1">
      <alignment/>
    </xf>
    <xf numFmtId="182" fontId="120" fillId="76" borderId="0" xfId="0" applyNumberFormat="1" applyFont="1" applyFill="1" applyBorder="1" applyAlignment="1">
      <alignment/>
    </xf>
    <xf numFmtId="3" fontId="30" fillId="77" borderId="0" xfId="0" applyNumberFormat="1" applyFont="1" applyFill="1" applyBorder="1" applyAlignment="1">
      <alignment/>
    </xf>
    <xf numFmtId="3" fontId="122" fillId="78" borderId="0" xfId="0" applyNumberFormat="1" applyFont="1" applyFill="1" applyBorder="1" applyAlignment="1">
      <alignment/>
    </xf>
    <xf numFmtId="3" fontId="120" fillId="0" borderId="0" xfId="0" applyNumberFormat="1" applyFont="1" applyFill="1" applyBorder="1" applyAlignment="1">
      <alignment/>
    </xf>
    <xf numFmtId="0" fontId="123" fillId="79" borderId="0" xfId="0" applyFont="1" applyFill="1" applyBorder="1" applyAlignment="1">
      <alignment/>
    </xf>
    <xf numFmtId="0" fontId="124" fillId="80" borderId="0" xfId="0" applyFont="1" applyFill="1" applyBorder="1" applyAlignment="1">
      <alignment/>
    </xf>
    <xf numFmtId="0" fontId="123" fillId="81" borderId="0" xfId="0" applyNumberFormat="1" applyFont="1" applyFill="1" applyBorder="1" applyAlignment="1">
      <alignment/>
    </xf>
    <xf numFmtId="3" fontId="123" fillId="82" borderId="0" xfId="0" applyNumberFormat="1" applyFont="1" applyFill="1" applyBorder="1" applyAlignment="1">
      <alignment/>
    </xf>
    <xf numFmtId="3" fontId="123" fillId="0" borderId="0" xfId="0" applyNumberFormat="1" applyFont="1" applyFill="1" applyBorder="1" applyAlignment="1">
      <alignment/>
    </xf>
    <xf numFmtId="3" fontId="125" fillId="83" borderId="0" xfId="0" applyNumberFormat="1" applyFont="1" applyFill="1" applyBorder="1" applyAlignment="1">
      <alignment/>
    </xf>
    <xf numFmtId="0" fontId="126" fillId="84" borderId="0" xfId="0" applyFont="1" applyFill="1" applyBorder="1" applyAlignment="1">
      <alignment/>
    </xf>
    <xf numFmtId="0" fontId="127" fillId="85" borderId="0" xfId="0" applyFont="1" applyFill="1" applyBorder="1" applyAlignment="1">
      <alignment/>
    </xf>
    <xf numFmtId="0" fontId="126" fillId="86" borderId="0" xfId="0" applyNumberFormat="1" applyFont="1" applyFill="1" applyBorder="1" applyAlignment="1">
      <alignment/>
    </xf>
    <xf numFmtId="3" fontId="126" fillId="87" borderId="0" xfId="0" applyNumberFormat="1" applyFont="1" applyFill="1" applyBorder="1" applyAlignment="1">
      <alignment/>
    </xf>
    <xf numFmtId="3" fontId="126" fillId="0" borderId="0" xfId="0" applyNumberFormat="1" applyFont="1" applyFill="1" applyBorder="1" applyAlignment="1">
      <alignment/>
    </xf>
    <xf numFmtId="0" fontId="120" fillId="0" borderId="0" xfId="0" applyFont="1" applyFill="1" applyBorder="1" applyAlignment="1">
      <alignment/>
    </xf>
    <xf numFmtId="0" fontId="120" fillId="88" borderId="0" xfId="0" applyFont="1" applyFill="1" applyBorder="1" applyAlignment="1">
      <alignment horizontal="left"/>
    </xf>
    <xf numFmtId="0" fontId="32" fillId="89" borderId="0" xfId="0" applyFont="1" applyFill="1" applyBorder="1" applyAlignment="1">
      <alignment/>
    </xf>
    <xf numFmtId="0" fontId="29" fillId="90" borderId="0" xfId="0" applyFont="1" applyFill="1" applyBorder="1" applyAlignment="1">
      <alignment horizontal="left"/>
    </xf>
    <xf numFmtId="0" fontId="121" fillId="0" borderId="0" xfId="0" applyFont="1" applyAlignment="1">
      <alignment/>
    </xf>
    <xf numFmtId="3" fontId="30" fillId="35" borderId="16" xfId="0" applyNumberFormat="1" applyFont="1" applyFill="1" applyBorder="1" applyAlignment="1">
      <alignment vertical="center" wrapText="1"/>
    </xf>
    <xf numFmtId="3" fontId="30" fillId="35" borderId="16" xfId="0" applyNumberFormat="1" applyFont="1" applyFill="1" applyBorder="1" applyAlignment="1">
      <alignment wrapText="1"/>
    </xf>
    <xf numFmtId="3" fontId="30" fillId="35" borderId="16" xfId="0" applyNumberFormat="1" applyFont="1" applyFill="1" applyBorder="1" applyAlignment="1">
      <alignment vertical="center"/>
    </xf>
    <xf numFmtId="0" fontId="121" fillId="0" borderId="0" xfId="0" applyFont="1" applyAlignment="1">
      <alignment vertical="center"/>
    </xf>
    <xf numFmtId="3" fontId="30" fillId="35" borderId="0" xfId="0" applyNumberFormat="1" applyFont="1" applyFill="1" applyBorder="1" applyAlignment="1">
      <alignment vertical="center"/>
    </xf>
    <xf numFmtId="49" fontId="128" fillId="0" borderId="0" xfId="0" applyNumberFormat="1" applyFont="1" applyAlignment="1">
      <alignment/>
    </xf>
    <xf numFmtId="0" fontId="128" fillId="0" borderId="0" xfId="0" applyFont="1" applyAlignment="1">
      <alignment/>
    </xf>
    <xf numFmtId="3" fontId="128" fillId="0" borderId="0" xfId="0" applyNumberFormat="1" applyFont="1" applyAlignment="1">
      <alignment/>
    </xf>
    <xf numFmtId="10" fontId="128" fillId="0" borderId="0" xfId="56" applyNumberFormat="1" applyFont="1" applyAlignment="1">
      <alignment/>
    </xf>
    <xf numFmtId="49" fontId="129" fillId="0" borderId="0" xfId="0" applyNumberFormat="1" applyFont="1" applyAlignment="1">
      <alignment/>
    </xf>
    <xf numFmtId="9" fontId="128" fillId="0" borderId="0" xfId="56" applyFont="1" applyAlignment="1">
      <alignment/>
    </xf>
    <xf numFmtId="1" fontId="19" fillId="37" borderId="12" xfId="0" applyNumberFormat="1" applyFont="1" applyFill="1" applyBorder="1" applyAlignment="1">
      <alignment horizontal="right"/>
    </xf>
    <xf numFmtId="0" fontId="20" fillId="36" borderId="15" xfId="0" applyFont="1" applyFill="1" applyBorder="1" applyAlignment="1">
      <alignment horizontal="center"/>
    </xf>
    <xf numFmtId="3" fontId="24" fillId="36" borderId="0" xfId="0" applyNumberFormat="1" applyFont="1" applyFill="1" applyBorder="1" applyAlignment="1">
      <alignment/>
    </xf>
    <xf numFmtId="49" fontId="128" fillId="33" borderId="12" xfId="0" applyNumberFormat="1" applyFont="1" applyFill="1" applyBorder="1" applyAlignment="1">
      <alignment/>
    </xf>
    <xf numFmtId="3" fontId="129" fillId="33" borderId="15" xfId="0" applyNumberFormat="1" applyFont="1" applyFill="1" applyBorder="1" applyAlignment="1">
      <alignment horizontal="center"/>
    </xf>
    <xf numFmtId="3" fontId="128" fillId="33" borderId="17" xfId="0" applyNumberFormat="1" applyFont="1" applyFill="1" applyBorder="1" applyAlignment="1">
      <alignment horizontal="center"/>
    </xf>
    <xf numFmtId="3" fontId="128" fillId="33" borderId="18" xfId="0" applyNumberFormat="1" applyFont="1" applyFill="1" applyBorder="1" applyAlignment="1">
      <alignment horizontal="center"/>
    </xf>
    <xf numFmtId="3" fontId="31" fillId="33" borderId="18" xfId="0" applyNumberFormat="1" applyFont="1" applyFill="1" applyBorder="1" applyAlignment="1">
      <alignment horizontal="center"/>
    </xf>
    <xf numFmtId="0" fontId="128" fillId="0" borderId="0" xfId="0" applyFont="1" applyAlignment="1">
      <alignment horizontal="right"/>
    </xf>
    <xf numFmtId="0" fontId="120" fillId="91" borderId="0" xfId="0" applyFont="1" applyFill="1" applyBorder="1" applyAlignment="1">
      <alignment/>
    </xf>
    <xf numFmtId="2" fontId="120" fillId="92" borderId="0" xfId="0" applyNumberFormat="1" applyFont="1" applyFill="1" applyBorder="1" applyAlignment="1">
      <alignment/>
    </xf>
    <xf numFmtId="2" fontId="121" fillId="93" borderId="0" xfId="0" applyNumberFormat="1" applyFont="1" applyFill="1" applyBorder="1" applyAlignment="1">
      <alignment/>
    </xf>
    <xf numFmtId="3" fontId="120" fillId="37" borderId="15" xfId="0" applyNumberFormat="1" applyFont="1" applyFill="1" applyBorder="1" applyAlignment="1">
      <alignment/>
    </xf>
    <xf numFmtId="4" fontId="120" fillId="37" borderId="15" xfId="0" applyNumberFormat="1" applyFont="1" applyFill="1" applyBorder="1" applyAlignment="1">
      <alignment/>
    </xf>
    <xf numFmtId="4" fontId="123" fillId="94" borderId="0" xfId="0" applyNumberFormat="1" applyFont="1" applyFill="1" applyBorder="1" applyAlignment="1">
      <alignment/>
    </xf>
    <xf numFmtId="172" fontId="0" fillId="0" borderId="0" xfId="48" applyNumberFormat="1" applyFont="1" applyAlignment="1">
      <alignment/>
    </xf>
    <xf numFmtId="49" fontId="15" fillId="33" borderId="0" xfId="0" applyNumberFormat="1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89" fillId="0" borderId="0" xfId="0" applyFont="1" applyAlignment="1">
      <alignment/>
    </xf>
    <xf numFmtId="0" fontId="19" fillId="34" borderId="0" xfId="0" applyFont="1" applyFill="1" applyAlignment="1">
      <alignment/>
    </xf>
    <xf numFmtId="3" fontId="24" fillId="34" borderId="0" xfId="50" applyNumberFormat="1" applyFont="1" applyFill="1" applyAlignment="1">
      <alignment horizontal="center"/>
    </xf>
    <xf numFmtId="49" fontId="13" fillId="34" borderId="0" xfId="0" applyNumberFormat="1" applyFont="1" applyFill="1" applyAlignment="1">
      <alignment horizontal="center"/>
    </xf>
    <xf numFmtId="9" fontId="111" fillId="33" borderId="0" xfId="56" applyFont="1" applyFill="1" applyAlignment="1">
      <alignment horizontal="center"/>
    </xf>
    <xf numFmtId="197" fontId="6" fillId="33" borderId="0" xfId="48" applyNumberFormat="1" applyFont="1" applyFill="1" applyAlignment="1">
      <alignment horizontal="right"/>
    </xf>
    <xf numFmtId="197" fontId="6" fillId="33" borderId="0" xfId="48" applyNumberFormat="1" applyFont="1" applyFill="1" applyBorder="1" applyAlignment="1">
      <alignment horizontal="right"/>
    </xf>
    <xf numFmtId="197" fontId="6" fillId="34" borderId="0" xfId="48" applyNumberFormat="1" applyFont="1" applyFill="1" applyBorder="1" applyAlignment="1">
      <alignment horizontal="right"/>
    </xf>
    <xf numFmtId="197" fontId="6" fillId="34" borderId="0" xfId="48" applyNumberFormat="1" applyFont="1" applyFill="1" applyAlignment="1">
      <alignment horizontal="right"/>
    </xf>
    <xf numFmtId="197" fontId="130" fillId="33" borderId="0" xfId="48" applyNumberFormat="1" applyFont="1" applyFill="1" applyAlignment="1">
      <alignment horizontal="right"/>
    </xf>
    <xf numFmtId="197" fontId="19" fillId="34" borderId="0" xfId="48" applyNumberFormat="1" applyFont="1" applyFill="1" applyAlignment="1">
      <alignment horizontal="right"/>
    </xf>
    <xf numFmtId="197" fontId="16" fillId="34" borderId="0" xfId="48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197" fontId="114" fillId="33" borderId="0" xfId="48" applyNumberFormat="1" applyFont="1" applyFill="1" applyAlignment="1">
      <alignment horizontal="right"/>
    </xf>
    <xf numFmtId="0" fontId="6" fillId="34" borderId="0" xfId="0" applyFont="1" applyFill="1" applyBorder="1" applyAlignment="1">
      <alignment/>
    </xf>
    <xf numFmtId="197" fontId="8" fillId="34" borderId="0" xfId="48" applyNumberFormat="1" applyFont="1" applyFill="1" applyAlignment="1">
      <alignment horizontal="left"/>
    </xf>
    <xf numFmtId="0" fontId="16" fillId="34" borderId="0" xfId="0" applyFont="1" applyFill="1" applyAlignment="1">
      <alignment/>
    </xf>
    <xf numFmtId="197" fontId="114" fillId="33" borderId="0" xfId="48" applyNumberFormat="1" applyFont="1" applyFill="1" applyBorder="1" applyAlignment="1">
      <alignment horizontal="right"/>
    </xf>
    <xf numFmtId="49" fontId="107" fillId="37" borderId="12" xfId="0" applyNumberFormat="1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20" fillId="37" borderId="12" xfId="54" applyFont="1" applyFill="1" applyBorder="1" applyAlignment="1">
      <alignment/>
      <protection/>
    </xf>
    <xf numFmtId="49" fontId="107" fillId="37" borderId="12" xfId="0" applyNumberFormat="1" applyFont="1" applyFill="1" applyBorder="1" applyAlignment="1">
      <alignment/>
    </xf>
    <xf numFmtId="3" fontId="16" fillId="34" borderId="0" xfId="50" applyNumberFormat="1" applyFont="1" applyFill="1" applyAlignment="1">
      <alignment horizontal="center"/>
    </xf>
    <xf numFmtId="172" fontId="114" fillId="33" borderId="15" xfId="50" applyNumberFormat="1" applyFont="1" applyFill="1" applyBorder="1" applyAlignment="1">
      <alignment/>
    </xf>
    <xf numFmtId="0" fontId="114" fillId="33" borderId="15" xfId="0" applyFont="1" applyFill="1" applyBorder="1" applyAlignment="1">
      <alignment/>
    </xf>
    <xf numFmtId="0" fontId="120" fillId="95" borderId="0" xfId="0" applyFont="1" applyFill="1" applyBorder="1" applyAlignment="1">
      <alignment/>
    </xf>
    <xf numFmtId="3" fontId="35" fillId="96" borderId="0" xfId="50" applyNumberFormat="1" applyFont="1" applyFill="1" applyBorder="1" applyAlignment="1">
      <alignment horizontal="center"/>
    </xf>
    <xf numFmtId="0" fontId="120" fillId="97" borderId="0" xfId="0" applyNumberFormat="1" applyFont="1" applyFill="1" applyBorder="1" applyAlignment="1">
      <alignment/>
    </xf>
    <xf numFmtId="3" fontId="120" fillId="98" borderId="0" xfId="0" applyNumberFormat="1" applyFont="1" applyFill="1" applyBorder="1" applyAlignment="1">
      <alignment/>
    </xf>
    <xf numFmtId="49" fontId="107" fillId="37" borderId="12" xfId="0" applyNumberFormat="1" applyFont="1" applyFill="1" applyBorder="1" applyAlignment="1">
      <alignment/>
    </xf>
    <xf numFmtId="197" fontId="16" fillId="34" borderId="0" xfId="48" applyNumberFormat="1" applyFont="1" applyFill="1" applyBorder="1" applyAlignment="1">
      <alignment horizontal="right"/>
    </xf>
    <xf numFmtId="0" fontId="6" fillId="33" borderId="15" xfId="54" applyNumberFormat="1" applyFont="1" applyFill="1" applyBorder="1" applyAlignment="1">
      <alignment horizontal="left"/>
      <protection/>
    </xf>
    <xf numFmtId="197" fontId="114" fillId="33" borderId="15" xfId="48" applyNumberFormat="1" applyFont="1" applyFill="1" applyBorder="1" applyAlignment="1">
      <alignment horizontal="right"/>
    </xf>
    <xf numFmtId="0" fontId="6" fillId="33" borderId="0" xfId="54" applyNumberFormat="1" applyFont="1" applyFill="1" applyBorder="1" applyAlignment="1">
      <alignment horizontal="left"/>
      <protection/>
    </xf>
    <xf numFmtId="197" fontId="114" fillId="33" borderId="0" xfId="48" applyNumberFormat="1" applyFont="1" applyFill="1" applyAlignment="1">
      <alignment horizontal="right"/>
    </xf>
    <xf numFmtId="49" fontId="107" fillId="37" borderId="12" xfId="0" applyNumberFormat="1" applyFont="1" applyFill="1" applyBorder="1" applyAlignment="1">
      <alignment/>
    </xf>
    <xf numFmtId="3" fontId="114" fillId="34" borderId="15" xfId="0" applyNumberFormat="1" applyFont="1" applyFill="1" applyBorder="1" applyAlignment="1">
      <alignment/>
    </xf>
    <xf numFmtId="3" fontId="24" fillId="36" borderId="15" xfId="0" applyNumberFormat="1" applyFont="1" applyFill="1" applyBorder="1" applyAlignment="1">
      <alignment/>
    </xf>
    <xf numFmtId="197" fontId="6" fillId="34" borderId="15" xfId="48" applyNumberFormat="1" applyFont="1" applyFill="1" applyBorder="1" applyAlignment="1">
      <alignment horizontal="right"/>
    </xf>
    <xf numFmtId="172" fontId="114" fillId="0" borderId="15" xfId="50" applyNumberFormat="1" applyFont="1" applyFill="1" applyBorder="1" applyAlignment="1">
      <alignment/>
    </xf>
    <xf numFmtId="0" fontId="109" fillId="34" borderId="0" xfId="0" applyFont="1" applyFill="1" applyBorder="1" applyAlignment="1">
      <alignment horizontal="right"/>
    </xf>
    <xf numFmtId="0" fontId="20" fillId="34" borderId="0" xfId="54" applyFont="1" applyFill="1" applyBorder="1" applyAlignment="1">
      <alignment horizontal="center"/>
      <protection/>
    </xf>
    <xf numFmtId="0" fontId="29" fillId="99" borderId="0" xfId="0" applyFont="1" applyFill="1" applyBorder="1" applyAlignment="1">
      <alignment horizontal="left"/>
    </xf>
    <xf numFmtId="0" fontId="29" fillId="99" borderId="0" xfId="0" applyFont="1" applyFill="1" applyBorder="1" applyAlignment="1">
      <alignment/>
    </xf>
    <xf numFmtId="197" fontId="19" fillId="34" borderId="0" xfId="48" applyNumberFormat="1" applyFont="1" applyFill="1" applyBorder="1" applyAlignment="1">
      <alignment horizontal="right"/>
    </xf>
    <xf numFmtId="49" fontId="20" fillId="36" borderId="12" xfId="0" applyNumberFormat="1" applyFont="1" applyFill="1" applyBorder="1" applyAlignment="1">
      <alignment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49" fontId="19" fillId="34" borderId="12" xfId="50" applyNumberFormat="1" applyFont="1" applyFill="1" applyBorder="1" applyAlignment="1">
      <alignment horizontal="right"/>
    </xf>
    <xf numFmtId="0" fontId="19" fillId="34" borderId="12" xfId="0" applyFont="1" applyFill="1" applyBorder="1" applyAlignment="1">
      <alignment horizontal="right"/>
    </xf>
    <xf numFmtId="0" fontId="6" fillId="34" borderId="15" xfId="0" applyFont="1" applyFill="1" applyBorder="1" applyAlignment="1">
      <alignment/>
    </xf>
    <xf numFmtId="0" fontId="6" fillId="34" borderId="0" xfId="54" applyFont="1" applyFill="1" applyAlignment="1">
      <alignment/>
      <protection/>
    </xf>
    <xf numFmtId="0" fontId="6" fillId="34" borderId="0" xfId="54" applyFont="1" applyFill="1" applyAlignment="1">
      <alignment horizontal="center"/>
      <protection/>
    </xf>
    <xf numFmtId="172" fontId="6" fillId="34" borderId="0" xfId="50" applyNumberFormat="1" applyFont="1" applyFill="1" applyBorder="1" applyAlignment="1">
      <alignment horizontal="left"/>
    </xf>
    <xf numFmtId="172" fontId="6" fillId="34" borderId="0" xfId="50" applyNumberFormat="1" applyFont="1" applyFill="1" applyBorder="1" applyAlignment="1">
      <alignment horizontal="center" vertical="center"/>
    </xf>
    <xf numFmtId="0" fontId="6" fillId="34" borderId="0" xfId="54" applyFont="1" applyFill="1" applyAlignment="1">
      <alignment horizontal="left"/>
      <protection/>
    </xf>
    <xf numFmtId="0" fontId="6" fillId="34" borderId="0" xfId="54" applyFont="1" applyFill="1" applyAlignment="1">
      <alignment horizontal="center" vertical="center"/>
      <protection/>
    </xf>
    <xf numFmtId="0" fontId="6" fillId="34" borderId="0" xfId="54" applyFont="1" applyFill="1" applyBorder="1" applyAlignment="1">
      <alignment horizontal="center" vertical="center"/>
      <protection/>
    </xf>
    <xf numFmtId="0" fontId="6" fillId="34" borderId="0" xfId="54" applyFont="1" applyFill="1" applyBorder="1" applyAlignment="1">
      <alignment horizontal="left"/>
      <protection/>
    </xf>
    <xf numFmtId="172" fontId="6" fillId="34" borderId="0" xfId="50" applyNumberFormat="1" applyFont="1" applyFill="1" applyAlignment="1">
      <alignment horizontal="left"/>
    </xf>
    <xf numFmtId="172" fontId="6" fillId="34" borderId="0" xfId="50" applyNumberFormat="1" applyFont="1" applyFill="1" applyAlignment="1">
      <alignment horizontal="center" vertical="center"/>
    </xf>
    <xf numFmtId="49" fontId="6" fillId="34" borderId="0" xfId="0" applyNumberFormat="1" applyFont="1" applyFill="1" applyAlignment="1">
      <alignment/>
    </xf>
    <xf numFmtId="3" fontId="22" fillId="34" borderId="0" xfId="0" applyNumberFormat="1" applyFont="1" applyFill="1" applyAlignment="1">
      <alignment horizontal="center"/>
    </xf>
    <xf numFmtId="49" fontId="17" fillId="34" borderId="0" xfId="0" applyNumberFormat="1" applyFont="1" applyFill="1" applyAlignment="1">
      <alignment horizontal="right"/>
    </xf>
    <xf numFmtId="0" fontId="13" fillId="34" borderId="0" xfId="0" applyFont="1" applyFill="1" applyAlignment="1">
      <alignment/>
    </xf>
    <xf numFmtId="49" fontId="17" fillId="34" borderId="0" xfId="0" applyNumberFormat="1" applyFont="1" applyFill="1" applyAlignment="1">
      <alignment/>
    </xf>
    <xf numFmtId="197" fontId="19" fillId="34" borderId="12" xfId="48" applyNumberFormat="1" applyFont="1" applyFill="1" applyBorder="1" applyAlignment="1">
      <alignment horizontal="right"/>
    </xf>
    <xf numFmtId="0" fontId="6" fillId="34" borderId="12" xfId="54" applyFont="1" applyFill="1" applyBorder="1" applyAlignment="1">
      <alignment/>
      <protection/>
    </xf>
    <xf numFmtId="0" fontId="17" fillId="34" borderId="0" xfId="0" applyFont="1" applyFill="1" applyBorder="1" applyAlignment="1">
      <alignment/>
    </xf>
    <xf numFmtId="197" fontId="17" fillId="34" borderId="0" xfId="48" applyNumberFormat="1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 horizontal="center"/>
    </xf>
    <xf numFmtId="197" fontId="13" fillId="34" borderId="0" xfId="48" applyNumberFormat="1" applyFont="1" applyFill="1" applyAlignment="1">
      <alignment horizontal="right"/>
    </xf>
    <xf numFmtId="0" fontId="6" fillId="34" borderId="0" xfId="0" applyFont="1" applyFill="1" applyBorder="1" applyAlignment="1">
      <alignment horizontal="center"/>
    </xf>
    <xf numFmtId="197" fontId="13" fillId="34" borderId="0" xfId="48" applyNumberFormat="1" applyFont="1" applyFill="1" applyAlignment="1">
      <alignment/>
    </xf>
    <xf numFmtId="197" fontId="8" fillId="34" borderId="0" xfId="48" applyNumberFormat="1" applyFont="1" applyFill="1" applyAlignment="1">
      <alignment/>
    </xf>
    <xf numFmtId="3" fontId="16" fillId="34" borderId="0" xfId="0" applyNumberFormat="1" applyFont="1" applyFill="1" applyAlignment="1">
      <alignment horizontal="center"/>
    </xf>
    <xf numFmtId="197" fontId="8" fillId="34" borderId="0" xfId="48" applyNumberFormat="1" applyFont="1" applyFill="1" applyAlignment="1">
      <alignment horizontal="right"/>
    </xf>
    <xf numFmtId="172" fontId="6" fillId="34" borderId="0" xfId="50" applyNumberFormat="1" applyFont="1" applyFill="1" applyBorder="1" applyAlignment="1">
      <alignment/>
    </xf>
    <xf numFmtId="172" fontId="6" fillId="34" borderId="0" xfId="50" applyNumberFormat="1" applyFont="1" applyFill="1" applyBorder="1" applyAlignment="1">
      <alignment horizontal="center"/>
    </xf>
    <xf numFmtId="0" fontId="17" fillId="34" borderId="0" xfId="0" applyFont="1" applyFill="1" applyAlignment="1">
      <alignment/>
    </xf>
    <xf numFmtId="197" fontId="17" fillId="34" borderId="0" xfId="48" applyNumberFormat="1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197" fontId="17" fillId="34" borderId="0" xfId="48" applyNumberFormat="1" applyFont="1" applyFill="1" applyAlignment="1">
      <alignment/>
    </xf>
    <xf numFmtId="197" fontId="15" fillId="34" borderId="0" xfId="48" applyNumberFormat="1" applyFont="1" applyFill="1" applyAlignment="1">
      <alignment/>
    </xf>
    <xf numFmtId="49" fontId="16" fillId="34" borderId="0" xfId="0" applyNumberFormat="1" applyFont="1" applyFill="1" applyAlignment="1">
      <alignment/>
    </xf>
    <xf numFmtId="3" fontId="6" fillId="34" borderId="0" xfId="0" applyNumberFormat="1" applyFont="1" applyFill="1" applyAlignment="1">
      <alignment horizontal="center"/>
    </xf>
    <xf numFmtId="197" fontId="15" fillId="34" borderId="0" xfId="48" applyNumberFormat="1" applyFont="1" applyFill="1" applyAlignment="1">
      <alignment horizontal="right"/>
    </xf>
    <xf numFmtId="197" fontId="15" fillId="34" borderId="0" xfId="48" applyNumberFormat="1" applyFont="1" applyFill="1" applyAlignment="1">
      <alignment horizontal="left"/>
    </xf>
    <xf numFmtId="3" fontId="6" fillId="34" borderId="0" xfId="0" applyNumberFormat="1" applyFont="1" applyFill="1" applyAlignment="1">
      <alignment/>
    </xf>
    <xf numFmtId="197" fontId="13" fillId="34" borderId="0" xfId="48" applyNumberFormat="1" applyFont="1" applyFill="1" applyAlignment="1">
      <alignment horizontal="left"/>
    </xf>
    <xf numFmtId="0" fontId="13" fillId="34" borderId="0" xfId="0" applyFont="1" applyFill="1" applyAlignment="1">
      <alignment horizontal="center"/>
    </xf>
    <xf numFmtId="49" fontId="8" fillId="34" borderId="0" xfId="0" applyNumberFormat="1" applyFont="1" applyFill="1" applyAlignment="1">
      <alignment horizontal="right"/>
    </xf>
    <xf numFmtId="3" fontId="15" fillId="34" borderId="0" xfId="50" applyNumberFormat="1" applyFont="1" applyFill="1" applyAlignment="1">
      <alignment horizontal="center"/>
    </xf>
    <xf numFmtId="197" fontId="20" fillId="34" borderId="0" xfId="48" applyNumberFormat="1" applyFont="1" applyFill="1" applyAlignment="1">
      <alignment/>
    </xf>
    <xf numFmtId="0" fontId="19" fillId="34" borderId="0" xfId="0" applyFont="1" applyFill="1" applyAlignment="1">
      <alignment horizontal="center"/>
    </xf>
    <xf numFmtId="0" fontId="19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21" fillId="34" borderId="0" xfId="0" applyFont="1" applyFill="1" applyAlignment="1">
      <alignment horizontal="center"/>
    </xf>
    <xf numFmtId="3" fontId="25" fillId="34" borderId="0" xfId="50" applyNumberFormat="1" applyFont="1" applyFill="1" applyAlignment="1">
      <alignment horizontal="center"/>
    </xf>
    <xf numFmtId="197" fontId="21" fillId="34" borderId="0" xfId="48" applyNumberFormat="1" applyFont="1" applyFill="1" applyAlignment="1">
      <alignment/>
    </xf>
    <xf numFmtId="197" fontId="21" fillId="34" borderId="0" xfId="48" applyNumberFormat="1" applyFont="1" applyFill="1" applyAlignment="1">
      <alignment horizontal="left"/>
    </xf>
    <xf numFmtId="197" fontId="20" fillId="34" borderId="0" xfId="48" applyNumberFormat="1" applyFont="1" applyFill="1" applyAlignment="1">
      <alignment horizontal="right"/>
    </xf>
    <xf numFmtId="0" fontId="6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3" fontId="23" fillId="34" borderId="0" xfId="50" applyNumberFormat="1" applyFont="1" applyFill="1" applyAlignment="1">
      <alignment horizontal="center" vertical="center"/>
    </xf>
    <xf numFmtId="3" fontId="22" fillId="34" borderId="0" xfId="50" applyNumberFormat="1" applyFont="1" applyFill="1" applyAlignment="1">
      <alignment horizontal="center" vertical="center"/>
    </xf>
    <xf numFmtId="0" fontId="18" fillId="34" borderId="0" xfId="0" applyFont="1" applyFill="1" applyAlignment="1">
      <alignment/>
    </xf>
    <xf numFmtId="0" fontId="15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3" fontId="22" fillId="34" borderId="0" xfId="50" applyNumberFormat="1" applyFont="1" applyFill="1" applyBorder="1" applyAlignment="1">
      <alignment horizontal="center"/>
    </xf>
    <xf numFmtId="0" fontId="17" fillId="34" borderId="0" xfId="0" applyFont="1" applyFill="1" applyAlignment="1">
      <alignment horizontal="center"/>
    </xf>
    <xf numFmtId="3" fontId="22" fillId="34" borderId="0" xfId="50" applyNumberFormat="1" applyFont="1" applyFill="1" applyAlignment="1">
      <alignment horizontal="center"/>
    </xf>
    <xf numFmtId="3" fontId="23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right"/>
    </xf>
    <xf numFmtId="3" fontId="22" fillId="34" borderId="0" xfId="0" applyNumberFormat="1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3" fontId="25" fillId="34" borderId="0" xfId="0" applyNumberFormat="1" applyFont="1" applyFill="1" applyAlignment="1">
      <alignment horizontal="center"/>
    </xf>
    <xf numFmtId="3" fontId="15" fillId="34" borderId="0" xfId="0" applyNumberFormat="1" applyFont="1" applyFill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16" fillId="34" borderId="12" xfId="0" applyFont="1" applyFill="1" applyBorder="1" applyAlignment="1">
      <alignment/>
    </xf>
    <xf numFmtId="197" fontId="8" fillId="34" borderId="0" xfId="48" applyNumberFormat="1" applyFont="1" applyFill="1" applyAlignment="1">
      <alignment horizontal="right" wrapText="1"/>
    </xf>
    <xf numFmtId="0" fontId="8" fillId="34" borderId="0" xfId="0" applyFont="1" applyFill="1" applyAlignment="1">
      <alignment horizontal="center" wrapText="1"/>
    </xf>
    <xf numFmtId="3" fontId="23" fillId="34" borderId="0" xfId="0" applyNumberFormat="1" applyFont="1" applyFill="1" applyAlignment="1">
      <alignment horizontal="center" wrapText="1"/>
    </xf>
    <xf numFmtId="197" fontId="8" fillId="34" borderId="0" xfId="48" applyNumberFormat="1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197" fontId="6" fillId="34" borderId="0" xfId="48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8" fillId="34" borderId="0" xfId="0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23" fillId="34" borderId="0" xfId="0" applyNumberFormat="1" applyFont="1" applyFill="1" applyBorder="1" applyAlignment="1">
      <alignment horizontal="center"/>
    </xf>
    <xf numFmtId="3" fontId="22" fillId="34" borderId="0" xfId="0" applyNumberFormat="1" applyFont="1" applyFill="1" applyBorder="1" applyAlignment="1">
      <alignment horizontal="center"/>
    </xf>
    <xf numFmtId="49" fontId="8" fillId="34" borderId="0" xfId="0" applyNumberFormat="1" applyFont="1" applyFill="1" applyAlignment="1">
      <alignment/>
    </xf>
    <xf numFmtId="0" fontId="8" fillId="34" borderId="0" xfId="0" applyFont="1" applyFill="1" applyAlignment="1">
      <alignment horizontal="left"/>
    </xf>
    <xf numFmtId="49" fontId="8" fillId="34" borderId="0" xfId="0" applyNumberFormat="1" applyFont="1" applyFill="1" applyAlignment="1">
      <alignment horizontal="left"/>
    </xf>
    <xf numFmtId="172" fontId="6" fillId="34" borderId="0" xfId="50" applyNumberFormat="1" applyFont="1" applyFill="1" applyAlignment="1">
      <alignment horizontal="center"/>
    </xf>
    <xf numFmtId="3" fontId="16" fillId="34" borderId="0" xfId="50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left"/>
    </xf>
    <xf numFmtId="49" fontId="13" fillId="34" borderId="0" xfId="0" applyNumberFormat="1" applyFont="1" applyFill="1" applyAlignment="1">
      <alignment horizontal="left"/>
    </xf>
    <xf numFmtId="3" fontId="8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left"/>
    </xf>
    <xf numFmtId="0" fontId="17" fillId="34" borderId="0" xfId="0" applyFont="1" applyFill="1" applyAlignment="1">
      <alignment/>
    </xf>
    <xf numFmtId="3" fontId="22" fillId="34" borderId="15" xfId="0" applyNumberFormat="1" applyFont="1" applyFill="1" applyBorder="1" applyAlignment="1">
      <alignment horizontal="center"/>
    </xf>
    <xf numFmtId="197" fontId="15" fillId="34" borderId="15" xfId="48" applyNumberFormat="1" applyFont="1" applyFill="1" applyBorder="1" applyAlignment="1">
      <alignment horizontal="left"/>
    </xf>
    <xf numFmtId="49" fontId="8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right"/>
    </xf>
    <xf numFmtId="41" fontId="22" fillId="34" borderId="0" xfId="0" applyNumberFormat="1" applyFont="1" applyFill="1" applyAlignment="1">
      <alignment horizontal="center"/>
    </xf>
    <xf numFmtId="49" fontId="15" fillId="34" borderId="0" xfId="0" applyNumberFormat="1" applyFont="1" applyFill="1" applyAlignment="1">
      <alignment/>
    </xf>
    <xf numFmtId="0" fontId="3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6" fillId="34" borderId="0" xfId="0" applyFont="1" applyFill="1" applyAlignment="1">
      <alignment horizontal="right"/>
    </xf>
    <xf numFmtId="3" fontId="6" fillId="34" borderId="0" xfId="50" applyNumberFormat="1" applyFont="1" applyFill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3" fontId="24" fillId="34" borderId="0" xfId="0" applyNumberFormat="1" applyFont="1" applyFill="1" applyAlignment="1">
      <alignment horizontal="center"/>
    </xf>
    <xf numFmtId="197" fontId="36" fillId="34" borderId="0" xfId="48" applyNumberFormat="1" applyFont="1" applyFill="1" applyAlignment="1">
      <alignment/>
    </xf>
    <xf numFmtId="0" fontId="17" fillId="34" borderId="0" xfId="0" applyFont="1" applyFill="1" applyAlignment="1">
      <alignment vertical="center"/>
    </xf>
    <xf numFmtId="3" fontId="6" fillId="34" borderId="0" xfId="0" applyNumberFormat="1" applyFont="1" applyFill="1" applyAlignment="1">
      <alignment horizontal="center" vertical="center"/>
    </xf>
    <xf numFmtId="49" fontId="16" fillId="34" borderId="0" xfId="0" applyNumberFormat="1" applyFont="1" applyFill="1" applyAlignment="1">
      <alignment vertical="center"/>
    </xf>
    <xf numFmtId="0" fontId="15" fillId="34" borderId="0" xfId="0" applyFont="1" applyFill="1" applyAlignment="1">
      <alignment/>
    </xf>
    <xf numFmtId="49" fontId="6" fillId="34" borderId="0" xfId="0" applyNumberFormat="1" applyFont="1" applyFill="1" applyAlignment="1">
      <alignment vertical="center"/>
    </xf>
    <xf numFmtId="3" fontId="6" fillId="34" borderId="0" xfId="50" applyNumberFormat="1" applyFont="1" applyFill="1" applyAlignment="1">
      <alignment horizontal="center" vertical="center"/>
    </xf>
    <xf numFmtId="0" fontId="17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/>
    </xf>
    <xf numFmtId="3" fontId="6" fillId="34" borderId="0" xfId="50" applyNumberFormat="1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197" fontId="20" fillId="34" borderId="0" xfId="48" applyNumberFormat="1" applyFont="1" applyFill="1" applyAlignment="1">
      <alignment horizontal="left"/>
    </xf>
    <xf numFmtId="197" fontId="6" fillId="34" borderId="0" xfId="48" applyNumberFormat="1" applyFont="1" applyFill="1" applyAlignment="1">
      <alignment horizontal="left"/>
    </xf>
    <xf numFmtId="197" fontId="16" fillId="34" borderId="12" xfId="48" applyNumberFormat="1" applyFont="1" applyFill="1" applyBorder="1" applyAlignment="1">
      <alignment horizontal="right"/>
    </xf>
    <xf numFmtId="3" fontId="82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0" fontId="23" fillId="34" borderId="0" xfId="0" applyFont="1" applyFill="1" applyAlignment="1">
      <alignment/>
    </xf>
    <xf numFmtId="0" fontId="6" fillId="34" borderId="15" xfId="54" applyNumberFormat="1" applyFont="1" applyFill="1" applyBorder="1" applyAlignment="1">
      <alignment horizontal="left"/>
      <protection/>
    </xf>
    <xf numFmtId="197" fontId="19" fillId="34" borderId="15" xfId="48" applyNumberFormat="1" applyFont="1" applyFill="1" applyBorder="1" applyAlignment="1">
      <alignment horizontal="right"/>
    </xf>
    <xf numFmtId="3" fontId="120" fillId="34" borderId="0" xfId="0" applyNumberFormat="1" applyFont="1" applyFill="1" applyBorder="1" applyAlignment="1">
      <alignment/>
    </xf>
    <xf numFmtId="3" fontId="22" fillId="34" borderId="0" xfId="0" applyNumberFormat="1" applyFont="1" applyFill="1" applyAlignment="1">
      <alignment horizontal="right"/>
    </xf>
    <xf numFmtId="41" fontId="22" fillId="34" borderId="0" xfId="0" applyNumberFormat="1" applyFont="1" applyFill="1" applyAlignment="1">
      <alignment horizontal="right"/>
    </xf>
    <xf numFmtId="0" fontId="19" fillId="34" borderId="15" xfId="0" applyFont="1" applyFill="1" applyBorder="1" applyAlignment="1">
      <alignment/>
    </xf>
    <xf numFmtId="197" fontId="31" fillId="34" borderId="15" xfId="48" applyNumberFormat="1" applyFont="1" applyFill="1" applyBorder="1" applyAlignment="1">
      <alignment horizontal="right"/>
    </xf>
    <xf numFmtId="0" fontId="31" fillId="34" borderId="15" xfId="0" applyFont="1" applyFill="1" applyBorder="1" applyAlignment="1">
      <alignment horizontal="left"/>
    </xf>
    <xf numFmtId="0" fontId="40" fillId="34" borderId="15" xfId="0" applyFont="1" applyFill="1" applyBorder="1" applyAlignment="1">
      <alignment/>
    </xf>
    <xf numFmtId="0" fontId="31" fillId="34" borderId="15" xfId="0" applyFont="1" applyFill="1" applyBorder="1" applyAlignment="1">
      <alignment/>
    </xf>
    <xf numFmtId="0" fontId="40" fillId="34" borderId="15" xfId="0" applyFont="1" applyFill="1" applyBorder="1" applyAlignment="1">
      <alignment vertical="center"/>
    </xf>
    <xf numFmtId="197" fontId="40" fillId="34" borderId="15" xfId="48" applyNumberFormat="1" applyFont="1" applyFill="1" applyBorder="1" applyAlignment="1">
      <alignment horizontal="left"/>
    </xf>
    <xf numFmtId="0" fontId="41" fillId="34" borderId="15" xfId="0" applyFont="1" applyFill="1" applyBorder="1" applyAlignment="1">
      <alignment/>
    </xf>
    <xf numFmtId="3" fontId="31" fillId="34" borderId="15" xfId="0" applyNumberFormat="1" applyFont="1" applyFill="1" applyBorder="1" applyAlignment="1">
      <alignment/>
    </xf>
    <xf numFmtId="49" fontId="42" fillId="34" borderId="15" xfId="0" applyNumberFormat="1" applyFont="1" applyFill="1" applyBorder="1" applyAlignment="1">
      <alignment horizontal="left"/>
    </xf>
    <xf numFmtId="0" fontId="42" fillId="33" borderId="15" xfId="0" applyFont="1" applyFill="1" applyBorder="1" applyAlignment="1">
      <alignment horizontal="center"/>
    </xf>
    <xf numFmtId="0" fontId="31" fillId="100" borderId="15" xfId="0" applyFont="1" applyFill="1" applyBorder="1" applyAlignment="1">
      <alignment/>
    </xf>
    <xf numFmtId="0" fontId="31" fillId="100" borderId="0" xfId="0" applyFont="1" applyFill="1" applyBorder="1" applyAlignment="1">
      <alignment/>
    </xf>
    <xf numFmtId="49" fontId="40" fillId="34" borderId="15" xfId="0" applyNumberFormat="1" applyFont="1" applyFill="1" applyBorder="1" applyAlignment="1">
      <alignment horizontal="center"/>
    </xf>
    <xf numFmtId="49" fontId="40" fillId="34" borderId="15" xfId="0" applyNumberFormat="1" applyFont="1" applyFill="1" applyBorder="1" applyAlignment="1">
      <alignment/>
    </xf>
    <xf numFmtId="0" fontId="129" fillId="0" borderId="0" xfId="0" applyFont="1" applyAlignment="1">
      <alignment/>
    </xf>
    <xf numFmtId="49" fontId="129" fillId="33" borderId="18" xfId="0" applyNumberFormat="1" applyFont="1" applyFill="1" applyBorder="1" applyAlignment="1">
      <alignment/>
    </xf>
    <xf numFmtId="0" fontId="129" fillId="33" borderId="15" xfId="0" applyFont="1" applyFill="1" applyBorder="1" applyAlignment="1">
      <alignment horizontal="left"/>
    </xf>
    <xf numFmtId="49" fontId="129" fillId="33" borderId="15" xfId="0" applyNumberFormat="1" applyFont="1" applyFill="1" applyBorder="1" applyAlignment="1">
      <alignment horizontal="center"/>
    </xf>
    <xf numFmtId="49" fontId="128" fillId="33" borderId="15" xfId="0" applyNumberFormat="1" applyFont="1" applyFill="1" applyBorder="1" applyAlignment="1">
      <alignment horizontal="right"/>
    </xf>
    <xf numFmtId="49" fontId="128" fillId="0" borderId="0" xfId="0" applyNumberFormat="1" applyFont="1" applyAlignment="1">
      <alignment horizontal="center"/>
    </xf>
    <xf numFmtId="0" fontId="31" fillId="34" borderId="15" xfId="54" applyNumberFormat="1" applyFont="1" applyFill="1" applyBorder="1" applyAlignment="1">
      <alignment/>
      <protection/>
    </xf>
    <xf numFmtId="3" fontId="31" fillId="34" borderId="15" xfId="0" applyNumberFormat="1" applyFont="1" applyFill="1" applyBorder="1" applyAlignment="1">
      <alignment horizontal="center"/>
    </xf>
    <xf numFmtId="49" fontId="128" fillId="33" borderId="18" xfId="0" applyNumberFormat="1" applyFont="1" applyFill="1" applyBorder="1" applyAlignment="1">
      <alignment/>
    </xf>
    <xf numFmtId="172" fontId="31" fillId="34" borderId="15" xfId="50" applyNumberFormat="1" applyFont="1" applyFill="1" applyBorder="1" applyAlignment="1">
      <alignment horizontal="left"/>
    </xf>
    <xf numFmtId="0" fontId="31" fillId="34" borderId="15" xfId="54" applyNumberFormat="1" applyFont="1" applyFill="1" applyBorder="1" applyAlignment="1">
      <alignment horizontal="left"/>
      <protection/>
    </xf>
    <xf numFmtId="172" fontId="31" fillId="34" borderId="15" xfId="50" applyNumberFormat="1" applyFont="1" applyFill="1" applyBorder="1" applyAlignment="1">
      <alignment/>
    </xf>
    <xf numFmtId="0" fontId="129" fillId="33" borderId="18" xfId="0" applyFont="1" applyFill="1" applyBorder="1" applyAlignment="1">
      <alignment/>
    </xf>
    <xf numFmtId="172" fontId="128" fillId="33" borderId="15" xfId="50" applyNumberFormat="1" applyFont="1" applyFill="1" applyBorder="1" applyAlignment="1">
      <alignment/>
    </xf>
    <xf numFmtId="3" fontId="129" fillId="0" borderId="0" xfId="0" applyNumberFormat="1" applyFont="1" applyAlignment="1">
      <alignment/>
    </xf>
    <xf numFmtId="0" fontId="129" fillId="33" borderId="15" xfId="0" applyFont="1" applyFill="1" applyBorder="1" applyAlignment="1">
      <alignment/>
    </xf>
    <xf numFmtId="197" fontId="128" fillId="33" borderId="15" xfId="48" applyNumberFormat="1" applyFont="1" applyFill="1" applyBorder="1" applyAlignment="1">
      <alignment horizontal="right"/>
    </xf>
    <xf numFmtId="0" fontId="129" fillId="33" borderId="15" xfId="0" applyFont="1" applyFill="1" applyBorder="1" applyAlignment="1">
      <alignment horizontal="center"/>
    </xf>
    <xf numFmtId="3" fontId="128" fillId="33" borderId="15" xfId="0" applyNumberFormat="1" applyFont="1" applyFill="1" applyBorder="1" applyAlignment="1">
      <alignment horizontal="center"/>
    </xf>
    <xf numFmtId="0" fontId="31" fillId="34" borderId="15" xfId="54" applyNumberFormat="1" applyFont="1" applyFill="1" applyBorder="1" applyAlignment="1">
      <alignment horizontal="center"/>
      <protection/>
    </xf>
    <xf numFmtId="0" fontId="129" fillId="33" borderId="18" xfId="0" applyFont="1" applyFill="1" applyBorder="1" applyAlignment="1">
      <alignment horizontal="center"/>
    </xf>
    <xf numFmtId="0" fontId="31" fillId="34" borderId="0" xfId="54" applyFont="1" applyFill="1" applyBorder="1" applyAlignment="1">
      <alignment/>
      <protection/>
    </xf>
    <xf numFmtId="49" fontId="129" fillId="33" borderId="15" xfId="0" applyNumberFormat="1" applyFont="1" applyFill="1" applyBorder="1" applyAlignment="1">
      <alignment horizontal="left"/>
    </xf>
    <xf numFmtId="0" fontId="31" fillId="33" borderId="15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129" fillId="33" borderId="0" xfId="0" applyFont="1" applyFill="1" applyBorder="1" applyAlignment="1">
      <alignment horizontal="center"/>
    </xf>
    <xf numFmtId="49" fontId="129" fillId="33" borderId="15" xfId="0" applyNumberFormat="1" applyFont="1" applyFill="1" applyBorder="1" applyAlignment="1">
      <alignment horizontal="right"/>
    </xf>
    <xf numFmtId="0" fontId="40" fillId="33" borderId="15" xfId="0" applyFont="1" applyFill="1" applyBorder="1" applyAlignment="1">
      <alignment horizontal="left"/>
    </xf>
    <xf numFmtId="0" fontId="129" fillId="33" borderId="18" xfId="0" applyFont="1" applyFill="1" applyBorder="1" applyAlignment="1">
      <alignment horizontal="left"/>
    </xf>
    <xf numFmtId="49" fontId="128" fillId="0" borderId="0" xfId="0" applyNumberFormat="1" applyFont="1" applyAlignment="1">
      <alignment horizontal="right"/>
    </xf>
    <xf numFmtId="3" fontId="129" fillId="0" borderId="0" xfId="0" applyNumberFormat="1" applyFont="1" applyAlignment="1">
      <alignment horizontal="center"/>
    </xf>
    <xf numFmtId="0" fontId="40" fillId="33" borderId="15" xfId="0" applyFont="1" applyFill="1" applyBorder="1" applyAlignment="1">
      <alignment/>
    </xf>
    <xf numFmtId="49" fontId="129" fillId="33" borderId="17" xfId="0" applyNumberFormat="1" applyFont="1" applyFill="1" applyBorder="1" applyAlignment="1">
      <alignment horizontal="right"/>
    </xf>
    <xf numFmtId="49" fontId="129" fillId="0" borderId="0" xfId="0" applyNumberFormat="1" applyFont="1" applyAlignment="1">
      <alignment horizontal="center"/>
    </xf>
    <xf numFmtId="0" fontId="42" fillId="33" borderId="15" xfId="0" applyFont="1" applyFill="1" applyBorder="1" applyAlignment="1">
      <alignment/>
    </xf>
    <xf numFmtId="3" fontId="129" fillId="33" borderId="15" xfId="0" applyNumberFormat="1" applyFont="1" applyFill="1" applyBorder="1" applyAlignment="1">
      <alignment horizontal="right"/>
    </xf>
    <xf numFmtId="0" fontId="128" fillId="33" borderId="15" xfId="0" applyFont="1" applyFill="1" applyBorder="1" applyAlignment="1">
      <alignment/>
    </xf>
    <xf numFmtId="0" fontId="31" fillId="34" borderId="15" xfId="0" applyFont="1" applyFill="1" applyBorder="1" applyAlignment="1">
      <alignment horizontal="center"/>
    </xf>
    <xf numFmtId="0" fontId="129" fillId="33" borderId="15" xfId="0" applyFont="1" applyFill="1" applyBorder="1" applyAlignment="1">
      <alignment/>
    </xf>
    <xf numFmtId="49" fontId="31" fillId="33" borderId="12" xfId="0" applyNumberFormat="1" applyFont="1" applyFill="1" applyBorder="1" applyAlignment="1">
      <alignment/>
    </xf>
    <xf numFmtId="49" fontId="128" fillId="33" borderId="15" xfId="0" applyNumberFormat="1" applyFont="1" applyFill="1" applyBorder="1" applyAlignment="1">
      <alignment horizontal="center"/>
    </xf>
    <xf numFmtId="49" fontId="128" fillId="33" borderId="17" xfId="0" applyNumberFormat="1" applyFont="1" applyFill="1" applyBorder="1" applyAlignment="1">
      <alignment horizontal="center"/>
    </xf>
    <xf numFmtId="49" fontId="42" fillId="33" borderId="15" xfId="0" applyNumberFormat="1" applyFont="1" applyFill="1" applyBorder="1" applyAlignment="1">
      <alignment/>
    </xf>
    <xf numFmtId="49" fontId="42" fillId="33" borderId="15" xfId="0" applyNumberFormat="1" applyFont="1" applyFill="1" applyBorder="1" applyAlignment="1">
      <alignment horizontal="center"/>
    </xf>
    <xf numFmtId="3" fontId="42" fillId="33" borderId="15" xfId="0" applyNumberFormat="1" applyFont="1" applyFill="1" applyBorder="1" applyAlignment="1">
      <alignment/>
    </xf>
    <xf numFmtId="49" fontId="129" fillId="33" borderId="19" xfId="0" applyNumberFormat="1" applyFont="1" applyFill="1" applyBorder="1" applyAlignment="1">
      <alignment horizontal="left"/>
    </xf>
    <xf numFmtId="0" fontId="38" fillId="33" borderId="15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49" fontId="40" fillId="33" borderId="15" xfId="0" applyNumberFormat="1" applyFont="1" applyFill="1" applyBorder="1" applyAlignment="1">
      <alignment/>
    </xf>
    <xf numFmtId="3" fontId="128" fillId="33" borderId="17" xfId="0" applyNumberFormat="1" applyFont="1" applyFill="1" applyBorder="1" applyAlignment="1">
      <alignment horizontal="right"/>
    </xf>
    <xf numFmtId="3" fontId="129" fillId="34" borderId="15" xfId="0" applyNumberFormat="1" applyFont="1" applyFill="1" applyBorder="1" applyAlignment="1">
      <alignment horizontal="right"/>
    </xf>
    <xf numFmtId="49" fontId="129" fillId="33" borderId="15" xfId="0" applyNumberFormat="1" applyFont="1" applyFill="1" applyBorder="1" applyAlignment="1">
      <alignment/>
    </xf>
    <xf numFmtId="49" fontId="129" fillId="33" borderId="0" xfId="0" applyNumberFormat="1" applyFont="1" applyFill="1" applyBorder="1" applyAlignment="1">
      <alignment/>
    </xf>
    <xf numFmtId="0" fontId="42" fillId="34" borderId="15" xfId="0" applyFont="1" applyFill="1" applyBorder="1" applyAlignment="1">
      <alignment horizontal="left"/>
    </xf>
    <xf numFmtId="0" fontId="42" fillId="33" borderId="18" xfId="0" applyFont="1" applyFill="1" applyBorder="1" applyAlignment="1">
      <alignment/>
    </xf>
    <xf numFmtId="0" fontId="128" fillId="33" borderId="18" xfId="0" applyFont="1" applyFill="1" applyBorder="1" applyAlignment="1">
      <alignment horizontal="center"/>
    </xf>
    <xf numFmtId="0" fontId="40" fillId="33" borderId="18" xfId="0" applyFont="1" applyFill="1" applyBorder="1" applyAlignment="1">
      <alignment/>
    </xf>
    <xf numFmtId="0" fontId="131" fillId="33" borderId="15" xfId="0" applyFont="1" applyFill="1" applyBorder="1" applyAlignment="1">
      <alignment/>
    </xf>
    <xf numFmtId="197" fontId="40" fillId="34" borderId="15" xfId="48" applyNumberFormat="1" applyFont="1" applyFill="1" applyBorder="1" applyAlignment="1">
      <alignment/>
    </xf>
    <xf numFmtId="3" fontId="129" fillId="33" borderId="0" xfId="0" applyNumberFormat="1" applyFont="1" applyFill="1" applyBorder="1" applyAlignment="1">
      <alignment horizontal="center"/>
    </xf>
    <xf numFmtId="197" fontId="42" fillId="34" borderId="15" xfId="48" applyNumberFormat="1" applyFont="1" applyFill="1" applyBorder="1" applyAlignment="1">
      <alignment horizontal="left"/>
    </xf>
    <xf numFmtId="49" fontId="40" fillId="33" borderId="18" xfId="0" applyNumberFormat="1" applyFont="1" applyFill="1" applyBorder="1" applyAlignment="1">
      <alignment/>
    </xf>
    <xf numFmtId="49" fontId="42" fillId="33" borderId="18" xfId="0" applyNumberFormat="1" applyFont="1" applyFill="1" applyBorder="1" applyAlignment="1">
      <alignment/>
    </xf>
    <xf numFmtId="49" fontId="42" fillId="33" borderId="0" xfId="0" applyNumberFormat="1" applyFont="1" applyFill="1" applyBorder="1" applyAlignment="1">
      <alignment/>
    </xf>
    <xf numFmtId="0" fontId="42" fillId="33" borderId="18" xfId="0" applyFont="1" applyFill="1" applyBorder="1" applyAlignment="1">
      <alignment horizontal="center"/>
    </xf>
    <xf numFmtId="49" fontId="129" fillId="33" borderId="18" xfId="0" applyNumberFormat="1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31" fillId="33" borderId="18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49" fontId="129" fillId="33" borderId="19" xfId="0" applyNumberFormat="1" applyFont="1" applyFill="1" applyBorder="1" applyAlignment="1">
      <alignment horizontal="right"/>
    </xf>
    <xf numFmtId="0" fontId="128" fillId="33" borderId="18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/>
    </xf>
    <xf numFmtId="0" fontId="129" fillId="33" borderId="15" xfId="0" applyFont="1" applyFill="1" applyBorder="1" applyAlignment="1">
      <alignment horizontal="right"/>
    </xf>
    <xf numFmtId="0" fontId="129" fillId="33" borderId="17" xfId="0" applyFont="1" applyFill="1" applyBorder="1" applyAlignment="1">
      <alignment horizontal="right"/>
    </xf>
    <xf numFmtId="49" fontId="128" fillId="33" borderId="12" xfId="0" applyNumberFormat="1" applyFont="1" applyFill="1" applyBorder="1" applyAlignment="1">
      <alignment vertical="center"/>
    </xf>
    <xf numFmtId="0" fontId="40" fillId="33" borderId="18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/>
    </xf>
    <xf numFmtId="0" fontId="40" fillId="33" borderId="15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right"/>
    </xf>
    <xf numFmtId="0" fontId="128" fillId="33" borderId="18" xfId="0" applyFont="1" applyFill="1" applyBorder="1" applyAlignment="1">
      <alignment/>
    </xf>
    <xf numFmtId="0" fontId="129" fillId="33" borderId="17" xfId="0" applyFont="1" applyFill="1" applyBorder="1" applyAlignment="1">
      <alignment/>
    </xf>
    <xf numFmtId="49" fontId="128" fillId="0" borderId="12" xfId="0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horizontal="right"/>
    </xf>
    <xf numFmtId="0" fontId="42" fillId="33" borderId="18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right"/>
    </xf>
    <xf numFmtId="0" fontId="42" fillId="33" borderId="12" xfId="0" applyFont="1" applyFill="1" applyBorder="1" applyAlignment="1">
      <alignment/>
    </xf>
    <xf numFmtId="0" fontId="40" fillId="33" borderId="15" xfId="0" applyFont="1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1" fillId="33" borderId="17" xfId="0" applyFont="1" applyFill="1" applyBorder="1" applyAlignment="1">
      <alignment horizontal="center"/>
    </xf>
    <xf numFmtId="3" fontId="129" fillId="33" borderId="0" xfId="0" applyNumberFormat="1" applyFont="1" applyFill="1" applyBorder="1" applyAlignment="1">
      <alignment horizontal="right"/>
    </xf>
    <xf numFmtId="3" fontId="128" fillId="33" borderId="0" xfId="0" applyNumberFormat="1" applyFont="1" applyFill="1" applyBorder="1" applyAlignment="1">
      <alignment horizontal="right"/>
    </xf>
    <xf numFmtId="197" fontId="42" fillId="34" borderId="15" xfId="48" applyNumberFormat="1" applyFont="1" applyFill="1" applyBorder="1" applyAlignment="1">
      <alignment horizontal="right"/>
    </xf>
    <xf numFmtId="197" fontId="42" fillId="34" borderId="15" xfId="48" applyNumberFormat="1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49" fontId="129" fillId="33" borderId="12" xfId="0" applyNumberFormat="1" applyFont="1" applyFill="1" applyBorder="1" applyAlignment="1">
      <alignment/>
    </xf>
    <xf numFmtId="0" fontId="42" fillId="33" borderId="18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49" fontId="40" fillId="33" borderId="18" xfId="0" applyNumberFormat="1" applyFont="1" applyFill="1" applyBorder="1" applyAlignment="1">
      <alignment horizontal="center"/>
    </xf>
    <xf numFmtId="0" fontId="31" fillId="33" borderId="0" xfId="0" applyFont="1" applyFill="1" applyBorder="1" applyAlignment="1">
      <alignment/>
    </xf>
    <xf numFmtId="0" fontId="42" fillId="33" borderId="17" xfId="0" applyFont="1" applyFill="1" applyBorder="1" applyAlignment="1">
      <alignment horizontal="left"/>
    </xf>
    <xf numFmtId="49" fontId="128" fillId="33" borderId="0" xfId="0" applyNumberFormat="1" applyFont="1" applyFill="1" applyAlignment="1">
      <alignment/>
    </xf>
    <xf numFmtId="49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/>
    </xf>
    <xf numFmtId="0" fontId="128" fillId="33" borderId="0" xfId="0" applyFont="1" applyFill="1" applyAlignment="1">
      <alignment horizontal="center"/>
    </xf>
    <xf numFmtId="3" fontId="128" fillId="33" borderId="0" xfId="0" applyNumberFormat="1" applyFont="1" applyFill="1" applyAlignment="1">
      <alignment horizontal="center"/>
    </xf>
    <xf numFmtId="3" fontId="129" fillId="33" borderId="0" xfId="0" applyNumberFormat="1" applyFont="1" applyFill="1" applyAlignment="1">
      <alignment horizontal="center"/>
    </xf>
    <xf numFmtId="0" fontId="40" fillId="33" borderId="18" xfId="0" applyFont="1" applyFill="1" applyBorder="1" applyAlignment="1">
      <alignment horizontal="left"/>
    </xf>
    <xf numFmtId="49" fontId="42" fillId="33" borderId="18" xfId="0" applyNumberFormat="1" applyFont="1" applyFill="1" applyBorder="1" applyAlignment="1">
      <alignment horizontal="center"/>
    </xf>
    <xf numFmtId="0" fontId="128" fillId="33" borderId="15" xfId="0" applyFont="1" applyFill="1" applyBorder="1" applyAlignment="1">
      <alignment horizontal="center"/>
    </xf>
    <xf numFmtId="0" fontId="128" fillId="33" borderId="17" xfId="0" applyFont="1" applyFill="1" applyBorder="1" applyAlignment="1">
      <alignment horizontal="center"/>
    </xf>
    <xf numFmtId="3" fontId="129" fillId="33" borderId="17" xfId="0" applyNumberFormat="1" applyFont="1" applyFill="1" applyBorder="1" applyAlignment="1">
      <alignment horizontal="center"/>
    </xf>
    <xf numFmtId="172" fontId="129" fillId="0" borderId="0" xfId="48" applyNumberFormat="1" applyFont="1" applyAlignment="1">
      <alignment/>
    </xf>
    <xf numFmtId="49" fontId="40" fillId="33" borderId="18" xfId="0" applyNumberFormat="1" applyFont="1" applyFill="1" applyBorder="1" applyAlignment="1">
      <alignment horizontal="left"/>
    </xf>
    <xf numFmtId="172" fontId="129" fillId="0" borderId="0" xfId="48" applyNumberFormat="1" applyFont="1" applyAlignment="1">
      <alignment/>
    </xf>
    <xf numFmtId="172" fontId="31" fillId="33" borderId="18" xfId="50" applyNumberFormat="1" applyFont="1" applyFill="1" applyBorder="1" applyAlignment="1">
      <alignment/>
    </xf>
    <xf numFmtId="3" fontId="128" fillId="33" borderId="18" xfId="0" applyNumberFormat="1" applyFont="1" applyFill="1" applyBorder="1" applyAlignment="1">
      <alignment/>
    </xf>
    <xf numFmtId="3" fontId="128" fillId="33" borderId="12" xfId="0" applyNumberFormat="1" applyFont="1" applyFill="1" applyBorder="1" applyAlignment="1">
      <alignment/>
    </xf>
    <xf numFmtId="0" fontId="132" fillId="33" borderId="15" xfId="0" applyFont="1" applyFill="1" applyBorder="1" applyAlignment="1">
      <alignment horizontal="center"/>
    </xf>
    <xf numFmtId="3" fontId="31" fillId="33" borderId="18" xfId="0" applyNumberFormat="1" applyFont="1" applyFill="1" applyBorder="1" applyAlignment="1">
      <alignment/>
    </xf>
    <xf numFmtId="172" fontId="31" fillId="33" borderId="0" xfId="50" applyNumberFormat="1" applyFont="1" applyFill="1" applyBorder="1" applyAlignment="1">
      <alignment/>
    </xf>
    <xf numFmtId="0" fontId="31" fillId="33" borderId="18" xfId="0" applyFont="1" applyFill="1" applyBorder="1" applyAlignment="1">
      <alignment horizontal="center"/>
    </xf>
    <xf numFmtId="49" fontId="31" fillId="34" borderId="18" xfId="0" applyNumberFormat="1" applyFont="1" applyFill="1" applyBorder="1" applyAlignment="1">
      <alignment/>
    </xf>
    <xf numFmtId="0" fontId="40" fillId="34" borderId="15" xfId="0" applyFont="1" applyFill="1" applyBorder="1" applyAlignment="1">
      <alignment horizontal="center"/>
    </xf>
    <xf numFmtId="1" fontId="42" fillId="33" borderId="18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/>
    </xf>
    <xf numFmtId="1" fontId="42" fillId="33" borderId="15" xfId="0" applyNumberFormat="1" applyFont="1" applyFill="1" applyBorder="1" applyAlignment="1">
      <alignment horizontal="center"/>
    </xf>
    <xf numFmtId="3" fontId="31" fillId="33" borderId="15" xfId="0" applyNumberFormat="1" applyFont="1" applyFill="1" applyBorder="1" applyAlignment="1">
      <alignment horizontal="left"/>
    </xf>
    <xf numFmtId="3" fontId="42" fillId="33" borderId="18" xfId="0" applyNumberFormat="1" applyFont="1" applyFill="1" applyBorder="1" applyAlignment="1">
      <alignment horizontal="center"/>
    </xf>
    <xf numFmtId="49" fontId="128" fillId="0" borderId="0" xfId="0" applyNumberFormat="1" applyFont="1" applyAlignment="1">
      <alignment/>
    </xf>
    <xf numFmtId="3" fontId="31" fillId="34" borderId="15" xfId="0" applyNumberFormat="1" applyFont="1" applyFill="1" applyBorder="1" applyAlignment="1">
      <alignment horizontal="left"/>
    </xf>
    <xf numFmtId="1" fontId="42" fillId="33" borderId="12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left"/>
    </xf>
    <xf numFmtId="3" fontId="42" fillId="33" borderId="18" xfId="0" applyNumberFormat="1" applyFont="1" applyFill="1" applyBorder="1" applyAlignment="1">
      <alignment horizontal="left"/>
    </xf>
    <xf numFmtId="1" fontId="128" fillId="33" borderId="17" xfId="0" applyNumberFormat="1" applyFont="1" applyFill="1" applyBorder="1" applyAlignment="1">
      <alignment horizontal="center"/>
    </xf>
    <xf numFmtId="1" fontId="128" fillId="33" borderId="0" xfId="0" applyNumberFormat="1" applyFont="1" applyFill="1" applyBorder="1" applyAlignment="1">
      <alignment horizontal="center"/>
    </xf>
    <xf numFmtId="3" fontId="128" fillId="33" borderId="0" xfId="0" applyNumberFormat="1" applyFont="1" applyFill="1" applyBorder="1" applyAlignment="1">
      <alignment/>
    </xf>
    <xf numFmtId="49" fontId="8" fillId="34" borderId="15" xfId="0" applyNumberFormat="1" applyFont="1" applyFill="1" applyBorder="1" applyAlignment="1">
      <alignment horizontal="left"/>
    </xf>
    <xf numFmtId="0" fontId="42" fillId="34" borderId="15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3" fontId="42" fillId="34" borderId="15" xfId="0" applyNumberFormat="1" applyFont="1" applyFill="1" applyBorder="1" applyAlignment="1">
      <alignment horizontal="center"/>
    </xf>
    <xf numFmtId="0" fontId="31" fillId="33" borderId="17" xfId="0" applyFont="1" applyFill="1" applyBorder="1" applyAlignment="1">
      <alignment horizontal="right"/>
    </xf>
    <xf numFmtId="3" fontId="31" fillId="34" borderId="15" xfId="0" applyNumberFormat="1" applyFont="1" applyFill="1" applyBorder="1" applyAlignment="1">
      <alignment horizontal="right"/>
    </xf>
    <xf numFmtId="3" fontId="42" fillId="34" borderId="15" xfId="0" applyNumberFormat="1" applyFont="1" applyFill="1" applyBorder="1" applyAlignment="1">
      <alignment horizontal="right"/>
    </xf>
    <xf numFmtId="49" fontId="6" fillId="34" borderId="15" xfId="0" applyNumberFormat="1" applyFont="1" applyFill="1" applyBorder="1" applyAlignment="1">
      <alignment horizontal="right"/>
    </xf>
    <xf numFmtId="49" fontId="17" fillId="34" borderId="15" xfId="0" applyNumberFormat="1" applyFont="1" applyFill="1" applyBorder="1" applyAlignment="1">
      <alignment horizontal="right"/>
    </xf>
    <xf numFmtId="49" fontId="16" fillId="34" borderId="18" xfId="0" applyNumberFormat="1" applyFont="1" applyFill="1" applyBorder="1" applyAlignment="1">
      <alignment vertical="center"/>
    </xf>
    <xf numFmtId="0" fontId="16" fillId="34" borderId="15" xfId="0" applyFont="1" applyFill="1" applyBorder="1" applyAlignment="1">
      <alignment horizontal="center" vertical="center"/>
    </xf>
    <xf numFmtId="3" fontId="128" fillId="33" borderId="0" xfId="0" applyNumberFormat="1" applyFont="1" applyFill="1" applyBorder="1" applyAlignment="1">
      <alignment horizontal="center"/>
    </xf>
    <xf numFmtId="3" fontId="128" fillId="0" borderId="0" xfId="0" applyNumberFormat="1" applyFont="1" applyAlignment="1">
      <alignment horizontal="right"/>
    </xf>
    <xf numFmtId="3" fontId="84" fillId="37" borderId="13" xfId="0" applyNumberFormat="1" applyFont="1" applyFill="1" applyBorder="1" applyAlignment="1">
      <alignment/>
    </xf>
    <xf numFmtId="3" fontId="128" fillId="33" borderId="15" xfId="0" applyNumberFormat="1" applyFont="1" applyFill="1" applyBorder="1" applyAlignment="1">
      <alignment horizontal="right"/>
    </xf>
    <xf numFmtId="172" fontId="0" fillId="0" borderId="0" xfId="48" applyNumberFormat="1" applyFont="1" applyAlignment="1">
      <alignment/>
    </xf>
    <xf numFmtId="0" fontId="104" fillId="0" borderId="20" xfId="0" applyFont="1" applyBorder="1" applyAlignment="1">
      <alignment horizontal="center"/>
    </xf>
    <xf numFmtId="0" fontId="104" fillId="0" borderId="21" xfId="0" applyFont="1" applyBorder="1" applyAlignment="1">
      <alignment horizontal="center"/>
    </xf>
    <xf numFmtId="0" fontId="104" fillId="0" borderId="22" xfId="0" applyFont="1" applyBorder="1" applyAlignment="1">
      <alignment horizontal="center"/>
    </xf>
    <xf numFmtId="0" fontId="133" fillId="0" borderId="23" xfId="0" applyFont="1" applyBorder="1" applyAlignment="1">
      <alignment/>
    </xf>
    <xf numFmtId="172" fontId="0" fillId="0" borderId="24" xfId="48" applyNumberFormat="1" applyFont="1" applyBorder="1" applyAlignment="1">
      <alignment/>
    </xf>
    <xf numFmtId="172" fontId="0" fillId="0" borderId="24" xfId="48" applyNumberFormat="1" applyFont="1" applyBorder="1" applyAlignment="1">
      <alignment/>
    </xf>
    <xf numFmtId="0" fontId="120" fillId="37" borderId="25" xfId="0" applyFont="1" applyFill="1" applyBorder="1" applyAlignment="1">
      <alignment/>
    </xf>
    <xf numFmtId="172" fontId="0" fillId="0" borderId="26" xfId="48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37" borderId="28" xfId="0" applyFont="1" applyFill="1" applyBorder="1" applyAlignment="1">
      <alignment/>
    </xf>
    <xf numFmtId="172" fontId="0" fillId="0" borderId="29" xfId="0" applyNumberFormat="1" applyBorder="1" applyAlignment="1">
      <alignment/>
    </xf>
    <xf numFmtId="0" fontId="29" fillId="37" borderId="28" xfId="0" applyFont="1" applyFill="1" applyBorder="1" applyAlignment="1">
      <alignment horizontal="left"/>
    </xf>
    <xf numFmtId="0" fontId="32" fillId="37" borderId="28" xfId="0" applyFont="1" applyFill="1" applyBorder="1" applyAlignment="1">
      <alignment/>
    </xf>
    <xf numFmtId="0" fontId="29" fillId="36" borderId="30" xfId="0" applyFont="1" applyFill="1" applyBorder="1" applyAlignment="1">
      <alignment/>
    </xf>
    <xf numFmtId="172" fontId="0" fillId="0" borderId="31" xfId="48" applyNumberFormat="1" applyFont="1" applyBorder="1" applyAlignment="1">
      <alignment/>
    </xf>
    <xf numFmtId="172" fontId="0" fillId="0" borderId="31" xfId="48" applyNumberFormat="1" applyFon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33" xfId="48" applyNumberFormat="1" applyFont="1" applyBorder="1" applyAlignment="1">
      <alignment/>
    </xf>
    <xf numFmtId="172" fontId="0" fillId="0" borderId="34" xfId="0" applyNumberFormat="1" applyBorder="1" applyAlignment="1">
      <alignment/>
    </xf>
    <xf numFmtId="0" fontId="29" fillId="37" borderId="15" xfId="0" applyFont="1" applyFill="1" applyBorder="1" applyAlignment="1">
      <alignment horizontal="left"/>
    </xf>
    <xf numFmtId="0" fontId="29" fillId="37" borderId="15" xfId="0" applyFont="1" applyFill="1" applyBorder="1" applyAlignment="1">
      <alignment/>
    </xf>
    <xf numFmtId="172" fontId="0" fillId="0" borderId="0" xfId="0" applyNumberFormat="1" applyAlignment="1">
      <alignment/>
    </xf>
    <xf numFmtId="49" fontId="129" fillId="33" borderId="0" xfId="0" applyNumberFormat="1" applyFont="1" applyFill="1" applyBorder="1" applyAlignment="1">
      <alignment horizontal="right"/>
    </xf>
    <xf numFmtId="197" fontId="8" fillId="34" borderId="15" xfId="48" applyNumberFormat="1" applyFont="1" applyFill="1" applyBorder="1" applyAlignment="1">
      <alignment/>
    </xf>
    <xf numFmtId="49" fontId="128" fillId="33" borderId="0" xfId="0" applyNumberFormat="1" applyFont="1" applyFill="1" applyBorder="1" applyAlignment="1">
      <alignment horizontal="right"/>
    </xf>
    <xf numFmtId="3" fontId="31" fillId="34" borderId="17" xfId="0" applyNumberFormat="1" applyFont="1" applyFill="1" applyBorder="1" applyAlignment="1">
      <alignment horizontal="center"/>
    </xf>
    <xf numFmtId="3" fontId="19" fillId="36" borderId="12" xfId="0" applyNumberFormat="1" applyFont="1" applyFill="1" applyBorder="1" applyAlignment="1">
      <alignment/>
    </xf>
    <xf numFmtId="172" fontId="6" fillId="34" borderId="15" xfId="50" applyNumberFormat="1" applyFont="1" applyFill="1" applyBorder="1" applyAlignment="1">
      <alignment/>
    </xf>
    <xf numFmtId="197" fontId="8" fillId="34" borderId="15" xfId="48" applyNumberFormat="1" applyFont="1" applyFill="1" applyBorder="1" applyAlignment="1">
      <alignment horizontal="left"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0" fontId="107" fillId="36" borderId="12" xfId="0" applyFont="1" applyFill="1" applyBorder="1" applyAlignment="1">
      <alignment horizontal="right"/>
    </xf>
    <xf numFmtId="3" fontId="109" fillId="36" borderId="12" xfId="0" applyNumberFormat="1" applyFont="1" applyFill="1" applyBorder="1" applyAlignment="1">
      <alignment horizontal="right"/>
    </xf>
    <xf numFmtId="3" fontId="107" fillId="36" borderId="12" xfId="0" applyNumberFormat="1" applyFont="1" applyFill="1" applyBorder="1" applyAlignment="1">
      <alignment horizontal="right"/>
    </xf>
    <xf numFmtId="3" fontId="23" fillId="34" borderId="18" xfId="0" applyNumberFormat="1" applyFont="1" applyFill="1" applyBorder="1" applyAlignment="1">
      <alignment horizontal="center"/>
    </xf>
    <xf numFmtId="49" fontId="17" fillId="34" borderId="12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24" fillId="34" borderId="0" xfId="0" applyFont="1" applyFill="1" applyAlignment="1">
      <alignment/>
    </xf>
    <xf numFmtId="197" fontId="3" fillId="34" borderId="0" xfId="48" applyNumberFormat="1" applyFont="1" applyFill="1" applyAlignment="1">
      <alignment horizontal="right"/>
    </xf>
    <xf numFmtId="0" fontId="12" fillId="34" borderId="0" xfId="0" applyFont="1" applyFill="1" applyAlignment="1">
      <alignment horizontal="center"/>
    </xf>
    <xf numFmtId="3" fontId="3" fillId="34" borderId="0" xfId="0" applyNumberFormat="1" applyFont="1" applyFill="1" applyAlignment="1">
      <alignment/>
    </xf>
    <xf numFmtId="3" fontId="22" fillId="34" borderId="17" xfId="0" applyNumberFormat="1" applyFont="1" applyFill="1" applyBorder="1" applyAlignment="1">
      <alignment horizontal="center"/>
    </xf>
    <xf numFmtId="172" fontId="3" fillId="34" borderId="0" xfId="48" applyNumberFormat="1" applyFont="1" applyFill="1" applyAlignment="1">
      <alignment/>
    </xf>
    <xf numFmtId="3" fontId="16" fillId="34" borderId="15" xfId="0" applyNumberFormat="1" applyFont="1" applyFill="1" applyBorder="1" applyAlignment="1">
      <alignment horizontal="center"/>
    </xf>
    <xf numFmtId="3" fontId="15" fillId="34" borderId="15" xfId="0" applyNumberFormat="1" applyFont="1" applyFill="1" applyBorder="1" applyAlignment="1">
      <alignment horizontal="center"/>
    </xf>
    <xf numFmtId="3" fontId="15" fillId="34" borderId="0" xfId="0" applyNumberFormat="1" applyFont="1" applyFill="1" applyBorder="1" applyAlignment="1">
      <alignment horizontal="center"/>
    </xf>
    <xf numFmtId="3" fontId="23" fillId="34" borderId="15" xfId="0" applyNumberFormat="1" applyFont="1" applyFill="1" applyBorder="1" applyAlignment="1">
      <alignment horizontal="center"/>
    </xf>
    <xf numFmtId="3" fontId="22" fillId="34" borderId="35" xfId="0" applyNumberFormat="1" applyFont="1" applyFill="1" applyBorder="1" applyAlignment="1">
      <alignment horizontal="center"/>
    </xf>
    <xf numFmtId="3" fontId="16" fillId="34" borderId="35" xfId="50" applyNumberFormat="1" applyFont="1" applyFill="1" applyBorder="1" applyAlignment="1">
      <alignment horizontal="center"/>
    </xf>
    <xf numFmtId="3" fontId="16" fillId="34" borderId="36" xfId="50" applyNumberFormat="1" applyFont="1" applyFill="1" applyBorder="1" applyAlignment="1">
      <alignment horizontal="center"/>
    </xf>
    <xf numFmtId="9" fontId="22" fillId="34" borderId="36" xfId="56" applyNumberFormat="1" applyFont="1" applyFill="1" applyBorder="1" applyAlignment="1">
      <alignment horizontal="center"/>
    </xf>
    <xf numFmtId="9" fontId="22" fillId="34" borderId="0" xfId="56" applyNumberFormat="1" applyFont="1" applyFill="1" applyBorder="1" applyAlignment="1">
      <alignment horizontal="center"/>
    </xf>
    <xf numFmtId="0" fontId="3" fillId="34" borderId="0" xfId="0" applyFont="1" applyFill="1" applyAlignment="1">
      <alignment vertical="center"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3" fontId="3" fillId="34" borderId="0" xfId="0" applyNumberFormat="1" applyFont="1" applyFill="1" applyAlignment="1">
      <alignment horizontal="center"/>
    </xf>
    <xf numFmtId="3" fontId="19" fillId="34" borderId="0" xfId="0" applyNumberFormat="1" applyFont="1" applyFill="1" applyAlignment="1">
      <alignment horizontal="center"/>
    </xf>
    <xf numFmtId="197" fontId="6" fillId="34" borderId="0" xfId="48" applyNumberFormat="1" applyFont="1" applyFill="1" applyAlignment="1">
      <alignment horizontal="right"/>
    </xf>
    <xf numFmtId="0" fontId="6" fillId="34" borderId="0" xfId="0" applyFont="1" applyFill="1" applyAlignment="1">
      <alignment horizontal="center"/>
    </xf>
    <xf numFmtId="3" fontId="6" fillId="34" borderId="0" xfId="0" applyNumberFormat="1" applyFont="1" applyFill="1" applyAlignment="1">
      <alignment horizontal="center"/>
    </xf>
    <xf numFmtId="197" fontId="6" fillId="34" borderId="15" xfId="48" applyNumberFormat="1" applyFont="1" applyFill="1" applyBorder="1" applyAlignment="1">
      <alignment horizontal="right"/>
    </xf>
    <xf numFmtId="3" fontId="31" fillId="34" borderId="0" xfId="0" applyNumberFormat="1" applyFont="1" applyFill="1" applyBorder="1" applyAlignment="1">
      <alignment horizontal="center"/>
    </xf>
    <xf numFmtId="49" fontId="17" fillId="34" borderId="0" xfId="0" applyNumberFormat="1" applyFont="1" applyFill="1" applyAlignment="1">
      <alignment horizontal="center"/>
    </xf>
    <xf numFmtId="3" fontId="6" fillId="34" borderId="0" xfId="0" applyNumberFormat="1" applyFont="1" applyFill="1" applyBorder="1" applyAlignment="1">
      <alignment horizontal="right"/>
    </xf>
    <xf numFmtId="197" fontId="6" fillId="34" borderId="15" xfId="48" applyNumberFormat="1" applyFont="1" applyFill="1" applyBorder="1" applyAlignment="1">
      <alignment horizontal="center"/>
    </xf>
    <xf numFmtId="0" fontId="13" fillId="34" borderId="0" xfId="0" applyFont="1" applyFill="1" applyAlignment="1">
      <alignment horizontal="right"/>
    </xf>
    <xf numFmtId="0" fontId="8" fillId="34" borderId="0" xfId="0" applyFont="1" applyFill="1" applyAlignment="1">
      <alignment horizontal="right"/>
    </xf>
    <xf numFmtId="49" fontId="6" fillId="34" borderId="0" xfId="0" applyNumberFormat="1" applyFont="1" applyFill="1" applyAlignment="1">
      <alignment horizontal="left"/>
    </xf>
    <xf numFmtId="0" fontId="134" fillId="33" borderId="0" xfId="0" applyFont="1" applyFill="1" applyAlignment="1">
      <alignment/>
    </xf>
    <xf numFmtId="0" fontId="66" fillId="35" borderId="16" xfId="0" applyFont="1" applyFill="1" applyBorder="1" applyAlignment="1">
      <alignment/>
    </xf>
    <xf numFmtId="3" fontId="30" fillId="101" borderId="16" xfId="0" applyNumberFormat="1" applyFont="1" applyFill="1" applyBorder="1" applyAlignment="1">
      <alignment wrapText="1"/>
    </xf>
    <xf numFmtId="3" fontId="30" fillId="35" borderId="37" xfId="0" applyNumberFormat="1" applyFont="1" applyFill="1" applyBorder="1" applyAlignment="1">
      <alignment vertical="center"/>
    </xf>
    <xf numFmtId="3" fontId="29" fillId="102" borderId="15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34" fillId="33" borderId="0" xfId="0" applyFont="1" applyFill="1" applyAlignment="1">
      <alignment horizontal="center"/>
    </xf>
    <xf numFmtId="3" fontId="23" fillId="34" borderId="15" xfId="0" applyNumberFormat="1" applyFont="1" applyFill="1" applyBorder="1" applyAlignment="1">
      <alignment horizontal="center" vertical="center"/>
    </xf>
    <xf numFmtId="3" fontId="16" fillId="103" borderId="0" xfId="50" applyNumberFormat="1" applyFont="1" applyFill="1" applyAlignment="1">
      <alignment horizontal="center"/>
    </xf>
    <xf numFmtId="3" fontId="23" fillId="34" borderId="35" xfId="0" applyNumberFormat="1" applyFont="1" applyFill="1" applyBorder="1" applyAlignment="1">
      <alignment horizontal="center"/>
    </xf>
    <xf numFmtId="3" fontId="25" fillId="34" borderId="15" xfId="0" applyNumberFormat="1" applyFont="1" applyFill="1" applyBorder="1" applyAlignment="1">
      <alignment horizontal="center"/>
    </xf>
    <xf numFmtId="3" fontId="22" fillId="34" borderId="15" xfId="50" applyNumberFormat="1" applyFont="1" applyFill="1" applyBorder="1" applyAlignment="1">
      <alignment horizontal="center"/>
    </xf>
    <xf numFmtId="3" fontId="23" fillId="34" borderId="15" xfId="50" applyNumberFormat="1" applyFont="1" applyFill="1" applyBorder="1" applyAlignment="1">
      <alignment horizontal="center"/>
    </xf>
    <xf numFmtId="197" fontId="6" fillId="34" borderId="0" xfId="48" applyNumberFormat="1" applyFont="1" applyFill="1" applyAlignment="1">
      <alignment horizontal="center"/>
    </xf>
    <xf numFmtId="3" fontId="22" fillId="103" borderId="15" xfId="50" applyNumberFormat="1" applyFont="1" applyFill="1" applyBorder="1" applyAlignment="1">
      <alignment horizontal="center"/>
    </xf>
    <xf numFmtId="3" fontId="104" fillId="0" borderId="0" xfId="0" applyNumberFormat="1" applyFont="1" applyAlignment="1">
      <alignment/>
    </xf>
    <xf numFmtId="0" fontId="44" fillId="104" borderId="0" xfId="0" applyFont="1" applyFill="1" applyBorder="1" applyAlignment="1">
      <alignment/>
    </xf>
    <xf numFmtId="3" fontId="31" fillId="34" borderId="18" xfId="0" applyNumberFormat="1" applyFont="1" applyFill="1" applyBorder="1" applyAlignment="1">
      <alignment horizontal="center"/>
    </xf>
    <xf numFmtId="3" fontId="16" fillId="105" borderId="0" xfId="50" applyNumberFormat="1" applyFont="1" applyFill="1" applyAlignment="1">
      <alignment horizontal="center"/>
    </xf>
    <xf numFmtId="3" fontId="22" fillId="105" borderId="0" xfId="50" applyNumberFormat="1" applyFont="1" applyFill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135" fillId="33" borderId="0" xfId="0" applyFont="1" applyFill="1" applyAlignment="1">
      <alignment/>
    </xf>
    <xf numFmtId="0" fontId="45" fillId="35" borderId="16" xfId="0" applyFont="1" applyFill="1" applyBorder="1" applyAlignment="1">
      <alignment/>
    </xf>
    <xf numFmtId="49" fontId="19" fillId="34" borderId="0" xfId="0" applyNumberFormat="1" applyFont="1" applyFill="1" applyBorder="1" applyAlignment="1">
      <alignment/>
    </xf>
    <xf numFmtId="0" fontId="19" fillId="34" borderId="0" xfId="0" applyFont="1" applyFill="1" applyBorder="1" applyAlignment="1">
      <alignment horizontal="right"/>
    </xf>
    <xf numFmtId="197" fontId="19" fillId="34" borderId="0" xfId="0" applyNumberFormat="1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3" fontId="19" fillId="34" borderId="0" xfId="0" applyNumberFormat="1" applyFont="1" applyFill="1" applyBorder="1" applyAlignment="1">
      <alignment horizontal="center"/>
    </xf>
    <xf numFmtId="3" fontId="110" fillId="106" borderId="13" xfId="0" applyNumberFormat="1" applyFont="1" applyFill="1" applyBorder="1" applyAlignment="1">
      <alignment/>
    </xf>
    <xf numFmtId="197" fontId="31" fillId="34" borderId="15" xfId="48" applyNumberFormat="1" applyFont="1" applyFill="1" applyBorder="1" applyAlignment="1">
      <alignment horizontal="center"/>
    </xf>
    <xf numFmtId="0" fontId="128" fillId="103" borderId="0" xfId="0" applyFont="1" applyFill="1" applyAlignment="1">
      <alignment/>
    </xf>
    <xf numFmtId="49" fontId="128" fillId="103" borderId="0" xfId="0" applyNumberFormat="1" applyFont="1" applyFill="1" applyAlignment="1">
      <alignment/>
    </xf>
    <xf numFmtId="3" fontId="128" fillId="103" borderId="0" xfId="0" applyNumberFormat="1" applyFont="1" applyFill="1" applyAlignment="1">
      <alignment/>
    </xf>
    <xf numFmtId="10" fontId="128" fillId="103" borderId="0" xfId="56" applyNumberFormat="1" applyFont="1" applyFill="1" applyAlignment="1">
      <alignment/>
    </xf>
    <xf numFmtId="0" fontId="0" fillId="103" borderId="0" xfId="0" applyFill="1" applyAlignment="1">
      <alignment/>
    </xf>
    <xf numFmtId="49" fontId="128" fillId="103" borderId="18" xfId="0" applyNumberFormat="1" applyFont="1" applyFill="1" applyBorder="1" applyAlignment="1">
      <alignment/>
    </xf>
    <xf numFmtId="49" fontId="128" fillId="103" borderId="12" xfId="0" applyNumberFormat="1" applyFont="1" applyFill="1" applyBorder="1" applyAlignment="1">
      <alignment/>
    </xf>
    <xf numFmtId="49" fontId="31" fillId="103" borderId="12" xfId="0" applyNumberFormat="1" applyFont="1" applyFill="1" applyBorder="1" applyAlignment="1">
      <alignment/>
    </xf>
    <xf numFmtId="49" fontId="16" fillId="103" borderId="18" xfId="0" applyNumberFormat="1" applyFont="1" applyFill="1" applyBorder="1" applyAlignment="1">
      <alignment/>
    </xf>
    <xf numFmtId="49" fontId="16" fillId="103" borderId="12" xfId="0" applyNumberFormat="1" applyFont="1" applyFill="1" applyBorder="1" applyAlignment="1">
      <alignment/>
    </xf>
    <xf numFmtId="3" fontId="110" fillId="0" borderId="13" xfId="0" applyNumberFormat="1" applyFont="1" applyFill="1" applyBorder="1" applyAlignment="1">
      <alignment/>
    </xf>
    <xf numFmtId="49" fontId="107" fillId="107" borderId="12" xfId="0" applyNumberFormat="1" applyFont="1" applyFill="1" applyBorder="1" applyAlignment="1">
      <alignment/>
    </xf>
    <xf numFmtId="49" fontId="107" fillId="106" borderId="12" xfId="0" applyNumberFormat="1" applyFont="1" applyFill="1" applyBorder="1" applyAlignment="1">
      <alignment/>
    </xf>
    <xf numFmtId="3" fontId="118" fillId="0" borderId="0" xfId="0" applyNumberFormat="1" applyFont="1" applyFill="1" applyAlignment="1">
      <alignment/>
    </xf>
    <xf numFmtId="172" fontId="114" fillId="103" borderId="15" xfId="50" applyNumberFormat="1" applyFont="1" applyFill="1" applyBorder="1" applyAlignment="1">
      <alignment/>
    </xf>
    <xf numFmtId="0" fontId="120" fillId="108" borderId="0" xfId="0" applyFont="1" applyFill="1" applyBorder="1" applyAlignment="1">
      <alignment/>
    </xf>
    <xf numFmtId="49" fontId="121" fillId="108" borderId="0" xfId="0" applyNumberFormat="1" applyFont="1" applyFill="1" applyBorder="1" applyAlignment="1">
      <alignment/>
    </xf>
    <xf numFmtId="0" fontId="13" fillId="103" borderId="0" xfId="0" applyFont="1" applyFill="1" applyAlignment="1">
      <alignment/>
    </xf>
    <xf numFmtId="3" fontId="120" fillId="108" borderId="0" xfId="0" applyNumberFormat="1" applyFont="1" applyFill="1" applyBorder="1" applyAlignment="1">
      <alignment/>
    </xf>
    <xf numFmtId="180" fontId="120" fillId="108" borderId="0" xfId="0" applyNumberFormat="1" applyFont="1" applyFill="1" applyBorder="1" applyAlignment="1">
      <alignment/>
    </xf>
    <xf numFmtId="3" fontId="29" fillId="108" borderId="0" xfId="0" applyNumberFormat="1" applyFont="1" applyFill="1" applyBorder="1" applyAlignment="1">
      <alignment/>
    </xf>
    <xf numFmtId="2" fontId="120" fillId="108" borderId="0" xfId="0" applyNumberFormat="1" applyFont="1" applyFill="1" applyBorder="1" applyAlignment="1">
      <alignment/>
    </xf>
    <xf numFmtId="49" fontId="6" fillId="103" borderId="0" xfId="0" applyNumberFormat="1" applyFont="1" applyFill="1" applyAlignment="1">
      <alignment/>
    </xf>
    <xf numFmtId="49" fontId="16" fillId="103" borderId="0" xfId="0" applyNumberFormat="1" applyFont="1" applyFill="1" applyAlignment="1">
      <alignment/>
    </xf>
    <xf numFmtId="0" fontId="8" fillId="34" borderId="0" xfId="0" applyFont="1" applyFill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1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3" fontId="30" fillId="35" borderId="37" xfId="0" applyNumberFormat="1" applyFont="1" applyFill="1" applyBorder="1" applyAlignment="1">
      <alignment horizontal="center" vertical="center"/>
    </xf>
    <xf numFmtId="3" fontId="30" fillId="35" borderId="0" xfId="0" applyNumberFormat="1" applyFont="1" applyFill="1" applyBorder="1" applyAlignment="1">
      <alignment horizontal="center" vertical="center"/>
    </xf>
    <xf numFmtId="0" fontId="104" fillId="0" borderId="38" xfId="0" applyFont="1" applyBorder="1" applyAlignment="1">
      <alignment horizontal="center"/>
    </xf>
    <xf numFmtId="0" fontId="104" fillId="0" borderId="39" xfId="0" applyFont="1" applyBorder="1" applyAlignment="1">
      <alignment horizontal="center"/>
    </xf>
    <xf numFmtId="0" fontId="104" fillId="0" borderId="4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Normal 3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au3" displayName="Tableau3" ref="A4:F316" comment="" totalsRowShown="0">
  <autoFilter ref="A4:F316"/>
  <tableColumns count="6">
    <tableColumn id="1" name="CODE "/>
    <tableColumn id="2" name="NATURE"/>
    <tableColumn id="3" name="DESIGNATION"/>
    <tableColumn id="4" name="LdFI2017"/>
    <tableColumn id="6" name="Exécution 2017"/>
    <tableColumn id="7" name=" LdFR20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au9" displayName="Tableau9" ref="A6:V28" comment="" totalsRowShown="0">
  <tableColumns count="22">
    <tableColumn id="1" name="ENTITE"/>
    <tableColumn id="2" name="CODE"/>
    <tableColumn id="3" name="MINISTERE"/>
    <tableColumn id="4" name="EFECTIF"/>
    <tableColumn id="5" name="prévision"/>
    <tableColumn id="17" name="Ordonnancement"/>
    <tableColumn id="16" name="Taux d'ordonnancement"/>
    <tableColumn id="6" name="prévision2"/>
    <tableColumn id="19" name="Ordonnancement2"/>
    <tableColumn id="18" name="Taux d'ordonnancement2"/>
    <tableColumn id="7" name="Prévision3"/>
    <tableColumn id="21" name="Ordonnancement3"/>
    <tableColumn id="20" name="Taux d'ordonnancement3"/>
    <tableColumn id="8" name="prévision4"/>
    <tableColumn id="23" name="Ordonnancement4"/>
    <tableColumn id="22" name="Taux d'ordonnancement4"/>
    <tableColumn id="9" name="INVEST fin ext"/>
    <tableColumn id="10" name="Budget général en %5"/>
    <tableColumn id="12" name="Amortiss. D int"/>
    <tableColumn id="13" name="TOTAL GENERAL"/>
    <tableColumn id="25" name="Total Ordonnancement"/>
    <tableColumn id="24" name="Taux d'execution/Execution 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82"/>
  <sheetViews>
    <sheetView workbookViewId="0" topLeftCell="A1">
      <pane ySplit="4" topLeftCell="A196" activePane="bottomLeft" state="frozen"/>
      <selection pane="topLeft" activeCell="A1" sqref="A1"/>
      <selection pane="bottomLeft" activeCell="J162" sqref="J162"/>
    </sheetView>
  </sheetViews>
  <sheetFormatPr defaultColWidth="11.421875" defaultRowHeight="15" outlineLevelRow="1"/>
  <cols>
    <col min="1" max="1" width="5.57421875" style="571" customWidth="1"/>
    <col min="2" max="2" width="17.140625" style="571" customWidth="1"/>
    <col min="3" max="3" width="16.00390625" style="571" customWidth="1"/>
    <col min="4" max="4" width="16.140625" style="573" customWidth="1"/>
    <col min="5" max="5" width="39.00390625" style="332" customWidth="1"/>
    <col min="6" max="6" width="13.00390625" style="332" customWidth="1"/>
    <col min="7" max="7" width="21.421875" style="332" customWidth="1"/>
    <col min="8" max="8" width="21.7109375" style="332" customWidth="1"/>
    <col min="9" max="9" width="26.140625" style="332" customWidth="1"/>
    <col min="10" max="10" width="24.8515625" style="571" customWidth="1"/>
    <col min="11" max="11" width="21.00390625" style="571" customWidth="1"/>
    <col min="12" max="12" width="20.57421875" style="571" customWidth="1"/>
    <col min="13" max="13" width="15.57421875" style="571" bestFit="1" customWidth="1"/>
    <col min="14" max="16384" width="11.421875" style="571" customWidth="1"/>
  </cols>
  <sheetData>
    <row r="1" ht="18.75">
      <c r="A1" s="572"/>
    </row>
    <row r="2" spans="1:9" ht="15">
      <c r="A2" s="658"/>
      <c r="B2" s="658"/>
      <c r="C2" s="658"/>
      <c r="D2" s="658"/>
      <c r="E2" s="658"/>
      <c r="F2" s="658"/>
      <c r="G2" s="227"/>
      <c r="H2" s="227"/>
      <c r="I2" s="227"/>
    </row>
    <row r="3" spans="1:9" ht="16.5" customHeight="1">
      <c r="A3" s="659"/>
      <c r="B3" s="659"/>
      <c r="C3" s="659"/>
      <c r="D3" s="659"/>
      <c r="E3" s="659"/>
      <c r="F3" s="659"/>
      <c r="G3" s="574"/>
      <c r="H3" s="574"/>
      <c r="I3" s="574"/>
    </row>
    <row r="4" spans="1:12" ht="15">
      <c r="A4" s="226" t="s">
        <v>1</v>
      </c>
      <c r="B4" s="226" t="s">
        <v>551</v>
      </c>
      <c r="C4" s="179" t="s">
        <v>543</v>
      </c>
      <c r="D4" s="616" t="s">
        <v>2</v>
      </c>
      <c r="E4" s="226" t="s">
        <v>3</v>
      </c>
      <c r="F4" s="226" t="s">
        <v>206</v>
      </c>
      <c r="G4" s="226" t="s">
        <v>567</v>
      </c>
      <c r="H4" s="226" t="s">
        <v>699</v>
      </c>
      <c r="I4" s="226" t="s">
        <v>663</v>
      </c>
      <c r="J4" s="609" t="s">
        <v>697</v>
      </c>
      <c r="K4" s="609" t="s">
        <v>698</v>
      </c>
      <c r="L4" s="332" t="s">
        <v>218</v>
      </c>
    </row>
    <row r="5" spans="1:9" ht="34.5" customHeight="1" outlineLevel="1">
      <c r="A5" s="328" t="s">
        <v>4</v>
      </c>
      <c r="B5" s="317" t="s">
        <v>5</v>
      </c>
      <c r="C5" s="317"/>
      <c r="D5" s="257"/>
      <c r="E5" s="227"/>
      <c r="F5" s="227"/>
      <c r="G5" s="227"/>
      <c r="H5" s="227"/>
      <c r="I5" s="227"/>
    </row>
    <row r="6" spans="1:12" ht="34.5" customHeight="1" outlineLevel="1">
      <c r="A6" s="241" t="s">
        <v>4</v>
      </c>
      <c r="B6" s="273" t="s">
        <v>347</v>
      </c>
      <c r="C6" s="329" t="s">
        <v>457</v>
      </c>
      <c r="D6" s="188">
        <v>6611</v>
      </c>
      <c r="E6" s="231" t="s">
        <v>6</v>
      </c>
      <c r="F6" s="232">
        <v>108</v>
      </c>
      <c r="G6" s="362">
        <v>640038648</v>
      </c>
      <c r="H6" s="242">
        <v>655271508.99</v>
      </c>
      <c r="I6" s="362">
        <f>640038648+34768266</f>
        <v>674806914</v>
      </c>
      <c r="J6" s="326"/>
      <c r="K6" s="614">
        <f aca="true" t="shared" si="0" ref="K6:K69">I6+J6</f>
        <v>674806914</v>
      </c>
      <c r="L6" s="614">
        <f>K6-H6</f>
        <v>19535405.00999999</v>
      </c>
    </row>
    <row r="7" spans="1:12" ht="34.5" customHeight="1" outlineLevel="1">
      <c r="A7" s="241" t="s">
        <v>4</v>
      </c>
      <c r="B7" s="273" t="s">
        <v>347</v>
      </c>
      <c r="C7" s="329" t="s">
        <v>457</v>
      </c>
      <c r="D7" s="188">
        <v>6682</v>
      </c>
      <c r="E7" s="233" t="s">
        <v>266</v>
      </c>
      <c r="F7" s="234"/>
      <c r="G7" s="362"/>
      <c r="H7" s="242"/>
      <c r="I7" s="362"/>
      <c r="J7" s="326"/>
      <c r="K7" s="614">
        <f t="shared" si="0"/>
        <v>0</v>
      </c>
      <c r="L7" s="614">
        <f aca="true" t="shared" si="1" ref="L7:L70">K7-H7</f>
        <v>0</v>
      </c>
    </row>
    <row r="8" spans="1:12" ht="34.5" customHeight="1" outlineLevel="1">
      <c r="A8" s="241" t="s">
        <v>4</v>
      </c>
      <c r="B8" s="273" t="s">
        <v>347</v>
      </c>
      <c r="C8" s="329" t="s">
        <v>457</v>
      </c>
      <c r="D8" s="188">
        <v>60100</v>
      </c>
      <c r="E8" s="235" t="s">
        <v>7</v>
      </c>
      <c r="F8" s="236"/>
      <c r="G8" s="363">
        <v>8000000</v>
      </c>
      <c r="H8" s="330">
        <v>8000000</v>
      </c>
      <c r="I8" s="363">
        <v>8000000</v>
      </c>
      <c r="J8" s="326"/>
      <c r="K8" s="614">
        <f t="shared" si="0"/>
        <v>8000000</v>
      </c>
      <c r="L8" s="614">
        <f t="shared" si="1"/>
        <v>0</v>
      </c>
    </row>
    <row r="9" spans="1:12" ht="34.5" customHeight="1" outlineLevel="1">
      <c r="A9" s="241" t="s">
        <v>4</v>
      </c>
      <c r="B9" s="273" t="s">
        <v>347</v>
      </c>
      <c r="C9" s="329" t="s">
        <v>457</v>
      </c>
      <c r="D9" s="188">
        <v>60101</v>
      </c>
      <c r="E9" s="235" t="s">
        <v>255</v>
      </c>
      <c r="F9" s="236"/>
      <c r="G9" s="363">
        <v>6500000</v>
      </c>
      <c r="H9" s="330">
        <v>6500000</v>
      </c>
      <c r="I9" s="363">
        <v>6500000</v>
      </c>
      <c r="J9" s="326"/>
      <c r="K9" s="614">
        <f t="shared" si="0"/>
        <v>6500000</v>
      </c>
      <c r="L9" s="614">
        <f t="shared" si="1"/>
        <v>0</v>
      </c>
    </row>
    <row r="10" spans="1:12" ht="34.5" customHeight="1" outlineLevel="1">
      <c r="A10" s="241" t="s">
        <v>4</v>
      </c>
      <c r="B10" s="273" t="s">
        <v>347</v>
      </c>
      <c r="C10" s="329" t="s">
        <v>457</v>
      </c>
      <c r="D10" s="188">
        <v>6041</v>
      </c>
      <c r="E10" s="235" t="s">
        <v>8</v>
      </c>
      <c r="F10" s="236"/>
      <c r="G10" s="363">
        <v>96000000</v>
      </c>
      <c r="H10" s="330">
        <v>96000000</v>
      </c>
      <c r="I10" s="363">
        <v>96000000</v>
      </c>
      <c r="J10" s="326"/>
      <c r="K10" s="614">
        <f t="shared" si="0"/>
        <v>96000000</v>
      </c>
      <c r="L10" s="614">
        <f t="shared" si="1"/>
        <v>0</v>
      </c>
    </row>
    <row r="11" spans="1:12" ht="34.5" customHeight="1" outlineLevel="1">
      <c r="A11" s="241" t="s">
        <v>4</v>
      </c>
      <c r="B11" s="273" t="s">
        <v>347</v>
      </c>
      <c r="C11" s="329" t="s">
        <v>457</v>
      </c>
      <c r="D11" s="188">
        <v>6018</v>
      </c>
      <c r="E11" s="235" t="s">
        <v>215</v>
      </c>
      <c r="F11" s="236"/>
      <c r="G11" s="362"/>
      <c r="H11" s="242"/>
      <c r="I11" s="362"/>
      <c r="J11" s="326"/>
      <c r="K11" s="614">
        <f t="shared" si="0"/>
        <v>0</v>
      </c>
      <c r="L11" s="614">
        <f t="shared" si="1"/>
        <v>0</v>
      </c>
    </row>
    <row r="12" spans="1:12" ht="34.5" customHeight="1" outlineLevel="1">
      <c r="A12" s="241" t="s">
        <v>4</v>
      </c>
      <c r="B12" s="273" t="s">
        <v>347</v>
      </c>
      <c r="C12" s="329" t="s">
        <v>457</v>
      </c>
      <c r="D12" s="188">
        <v>6122</v>
      </c>
      <c r="E12" s="235" t="s">
        <v>582</v>
      </c>
      <c r="F12" s="236"/>
      <c r="G12" s="363">
        <v>15250000</v>
      </c>
      <c r="H12" s="330">
        <v>15250000</v>
      </c>
      <c r="I12" s="363">
        <v>15250000</v>
      </c>
      <c r="J12" s="326"/>
      <c r="K12" s="614">
        <f t="shared" si="0"/>
        <v>15250000</v>
      </c>
      <c r="L12" s="614">
        <f t="shared" si="1"/>
        <v>0</v>
      </c>
    </row>
    <row r="13" spans="1:12" ht="34.5" customHeight="1" outlineLevel="1">
      <c r="A13" s="241" t="s">
        <v>4</v>
      </c>
      <c r="B13" s="273" t="s">
        <v>347</v>
      </c>
      <c r="C13" s="329" t="s">
        <v>457</v>
      </c>
      <c r="D13" s="187">
        <v>6133</v>
      </c>
      <c r="E13" s="68" t="s">
        <v>9</v>
      </c>
      <c r="F13" s="237"/>
      <c r="G13" s="362">
        <v>12000000</v>
      </c>
      <c r="H13" s="242">
        <v>12000000</v>
      </c>
      <c r="I13" s="362">
        <v>12000000</v>
      </c>
      <c r="J13" s="326"/>
      <c r="K13" s="614">
        <f t="shared" si="0"/>
        <v>12000000</v>
      </c>
      <c r="L13" s="614">
        <f t="shared" si="1"/>
        <v>0</v>
      </c>
    </row>
    <row r="14" spans="1:12" ht="34.5" customHeight="1" outlineLevel="1">
      <c r="A14" s="241" t="s">
        <v>4</v>
      </c>
      <c r="B14" s="273" t="s">
        <v>347</v>
      </c>
      <c r="C14" s="329" t="s">
        <v>457</v>
      </c>
      <c r="D14" s="187">
        <v>6138</v>
      </c>
      <c r="E14" s="238" t="s">
        <v>177</v>
      </c>
      <c r="F14" s="237"/>
      <c r="G14" s="362"/>
      <c r="H14" s="242"/>
      <c r="I14" s="362"/>
      <c r="J14" s="326"/>
      <c r="K14" s="614">
        <f t="shared" si="0"/>
        <v>0</v>
      </c>
      <c r="L14" s="614">
        <f t="shared" si="1"/>
        <v>0</v>
      </c>
    </row>
    <row r="15" spans="1:12" ht="34.5" customHeight="1" outlineLevel="1">
      <c r="A15" s="241" t="s">
        <v>4</v>
      </c>
      <c r="B15" s="273" t="s">
        <v>347</v>
      </c>
      <c r="C15" s="329" t="s">
        <v>457</v>
      </c>
      <c r="D15" s="187">
        <v>6143</v>
      </c>
      <c r="E15" s="238" t="s">
        <v>287</v>
      </c>
      <c r="F15" s="237"/>
      <c r="G15" s="362"/>
      <c r="H15" s="242"/>
      <c r="I15" s="362"/>
      <c r="J15" s="326"/>
      <c r="K15" s="614">
        <f t="shared" si="0"/>
        <v>0</v>
      </c>
      <c r="L15" s="614">
        <f t="shared" si="1"/>
        <v>0</v>
      </c>
    </row>
    <row r="16" spans="1:12" ht="34.5" customHeight="1" outlineLevel="1">
      <c r="A16" s="241" t="s">
        <v>4</v>
      </c>
      <c r="B16" s="273" t="s">
        <v>347</v>
      </c>
      <c r="C16" s="329" t="s">
        <v>457</v>
      </c>
      <c r="D16" s="188">
        <v>6052</v>
      </c>
      <c r="E16" s="235" t="s">
        <v>598</v>
      </c>
      <c r="F16" s="236"/>
      <c r="G16" s="362"/>
      <c r="H16" s="242"/>
      <c r="I16" s="362"/>
      <c r="J16" s="326"/>
      <c r="K16" s="614">
        <f t="shared" si="0"/>
        <v>0</v>
      </c>
      <c r="L16" s="614">
        <f t="shared" si="1"/>
        <v>0</v>
      </c>
    </row>
    <row r="17" spans="1:12" ht="34.5" customHeight="1" outlineLevel="1">
      <c r="A17" s="241" t="s">
        <v>4</v>
      </c>
      <c r="B17" s="273" t="s">
        <v>347</v>
      </c>
      <c r="C17" s="329" t="s">
        <v>457</v>
      </c>
      <c r="D17" s="188">
        <v>6152</v>
      </c>
      <c r="E17" s="235" t="s">
        <v>256</v>
      </c>
      <c r="F17" s="236"/>
      <c r="G17" s="362">
        <v>7500000</v>
      </c>
      <c r="H17" s="242">
        <v>7500000</v>
      </c>
      <c r="I17" s="362">
        <v>7500000</v>
      </c>
      <c r="J17" s="326"/>
      <c r="K17" s="614">
        <f t="shared" si="0"/>
        <v>7500000</v>
      </c>
      <c r="L17" s="614">
        <f t="shared" si="1"/>
        <v>0</v>
      </c>
    </row>
    <row r="18" spans="1:12" ht="34.5" customHeight="1" outlineLevel="1">
      <c r="A18" s="241" t="s">
        <v>4</v>
      </c>
      <c r="B18" s="329" t="s">
        <v>347</v>
      </c>
      <c r="C18" s="329" t="s">
        <v>457</v>
      </c>
      <c r="D18" s="187">
        <v>6161</v>
      </c>
      <c r="E18" s="238" t="s">
        <v>257</v>
      </c>
      <c r="F18" s="236"/>
      <c r="G18" s="362">
        <v>100000000</v>
      </c>
      <c r="H18" s="362">
        <v>100000000</v>
      </c>
      <c r="I18" s="362">
        <v>100000000</v>
      </c>
      <c r="J18" s="326">
        <v>30000000</v>
      </c>
      <c r="K18" s="614">
        <f t="shared" si="0"/>
        <v>130000000</v>
      </c>
      <c r="L18" s="614">
        <f t="shared" si="1"/>
        <v>30000000</v>
      </c>
    </row>
    <row r="19" spans="1:12" ht="34.5" customHeight="1" outlineLevel="1">
      <c r="A19" s="241" t="s">
        <v>4</v>
      </c>
      <c r="B19" s="329" t="s">
        <v>347</v>
      </c>
      <c r="C19" s="329" t="s">
        <v>457</v>
      </c>
      <c r="D19" s="187">
        <v>6162</v>
      </c>
      <c r="E19" s="238" t="s">
        <v>552</v>
      </c>
      <c r="F19" s="236"/>
      <c r="G19" s="362"/>
      <c r="H19" s="267"/>
      <c r="I19" s="362"/>
      <c r="J19" s="326"/>
      <c r="K19" s="614">
        <f t="shared" si="0"/>
        <v>0</v>
      </c>
      <c r="L19" s="614">
        <f t="shared" si="1"/>
        <v>0</v>
      </c>
    </row>
    <row r="20" spans="1:12" ht="34.5" customHeight="1" outlineLevel="1">
      <c r="A20" s="241" t="s">
        <v>4</v>
      </c>
      <c r="B20" s="273" t="s">
        <v>347</v>
      </c>
      <c r="C20" s="329" t="s">
        <v>457</v>
      </c>
      <c r="D20" s="188">
        <v>6111</v>
      </c>
      <c r="E20" s="239" t="s">
        <v>11</v>
      </c>
      <c r="F20" s="240"/>
      <c r="G20" s="362">
        <v>144000000</v>
      </c>
      <c r="H20" s="242">
        <v>144000000</v>
      </c>
      <c r="I20" s="362">
        <v>144000000</v>
      </c>
      <c r="J20" s="326"/>
      <c r="K20" s="614">
        <f t="shared" si="0"/>
        <v>144000000</v>
      </c>
      <c r="L20" s="614">
        <f t="shared" si="1"/>
        <v>0</v>
      </c>
    </row>
    <row r="21" spans="1:12" ht="34.5" customHeight="1" outlineLevel="1">
      <c r="A21" s="241" t="s">
        <v>4</v>
      </c>
      <c r="B21" s="273" t="s">
        <v>347</v>
      </c>
      <c r="C21" s="329" t="s">
        <v>457</v>
      </c>
      <c r="D21" s="188">
        <v>6112</v>
      </c>
      <c r="E21" s="235" t="s">
        <v>12</v>
      </c>
      <c r="F21" s="236"/>
      <c r="G21" s="362">
        <v>15000000</v>
      </c>
      <c r="H21" s="242">
        <v>15000000</v>
      </c>
      <c r="I21" s="362">
        <v>15000000</v>
      </c>
      <c r="J21" s="326"/>
      <c r="K21" s="614">
        <f t="shared" si="0"/>
        <v>15000000</v>
      </c>
      <c r="L21" s="614">
        <f t="shared" si="1"/>
        <v>0</v>
      </c>
    </row>
    <row r="22" spans="1:12" ht="34.5" customHeight="1" outlineLevel="1">
      <c r="A22" s="241" t="s">
        <v>4</v>
      </c>
      <c r="B22" s="273" t="s">
        <v>347</v>
      </c>
      <c r="C22" s="329" t="s">
        <v>457</v>
      </c>
      <c r="D22" s="187">
        <v>6171</v>
      </c>
      <c r="E22" s="238" t="s">
        <v>233</v>
      </c>
      <c r="F22" s="237"/>
      <c r="G22" s="362"/>
      <c r="H22" s="267"/>
      <c r="I22" s="362"/>
      <c r="J22" s="326"/>
      <c r="K22" s="614">
        <f t="shared" si="0"/>
        <v>0</v>
      </c>
      <c r="L22" s="614">
        <f t="shared" si="1"/>
        <v>0</v>
      </c>
    </row>
    <row r="23" spans="1:12" ht="34.5" customHeight="1" outlineLevel="1">
      <c r="A23" s="241" t="s">
        <v>4</v>
      </c>
      <c r="B23" s="273" t="s">
        <v>347</v>
      </c>
      <c r="C23" s="329" t="s">
        <v>457</v>
      </c>
      <c r="D23" s="187">
        <v>6173</v>
      </c>
      <c r="E23" s="238" t="s">
        <v>584</v>
      </c>
      <c r="F23" s="237"/>
      <c r="G23" s="362">
        <v>0</v>
      </c>
      <c r="H23" s="242"/>
      <c r="I23" s="362">
        <v>0</v>
      </c>
      <c r="J23" s="326"/>
      <c r="K23" s="614">
        <f t="shared" si="0"/>
        <v>0</v>
      </c>
      <c r="L23" s="614">
        <f t="shared" si="1"/>
        <v>0</v>
      </c>
    </row>
    <row r="24" spans="1:12" ht="34.5" customHeight="1" outlineLevel="1">
      <c r="A24" s="241" t="s">
        <v>4</v>
      </c>
      <c r="B24" s="273" t="s">
        <v>347</v>
      </c>
      <c r="C24" s="329" t="s">
        <v>457</v>
      </c>
      <c r="D24" s="187">
        <v>6175</v>
      </c>
      <c r="E24" s="238" t="s">
        <v>13</v>
      </c>
      <c r="F24" s="237"/>
      <c r="G24" s="362">
        <v>10000000</v>
      </c>
      <c r="H24" s="242">
        <v>10000000</v>
      </c>
      <c r="I24" s="362">
        <v>10000000</v>
      </c>
      <c r="J24" s="326"/>
      <c r="K24" s="614">
        <f t="shared" si="0"/>
        <v>10000000</v>
      </c>
      <c r="L24" s="614">
        <f t="shared" si="1"/>
        <v>0</v>
      </c>
    </row>
    <row r="25" spans="1:12" ht="34.5" customHeight="1" outlineLevel="1">
      <c r="A25" s="241" t="s">
        <v>4</v>
      </c>
      <c r="B25" s="273" t="s">
        <v>347</v>
      </c>
      <c r="C25" s="329" t="s">
        <v>457</v>
      </c>
      <c r="D25" s="187">
        <v>6433</v>
      </c>
      <c r="E25" s="238" t="s">
        <v>14</v>
      </c>
      <c r="F25" s="237"/>
      <c r="G25" s="362">
        <v>20000000</v>
      </c>
      <c r="H25" s="242">
        <v>20000000</v>
      </c>
      <c r="I25" s="362">
        <f>20000000+19563000</f>
        <v>39563000</v>
      </c>
      <c r="J25" s="326"/>
      <c r="K25" s="614">
        <f t="shared" si="0"/>
        <v>39563000</v>
      </c>
      <c r="L25" s="614">
        <f t="shared" si="1"/>
        <v>19563000</v>
      </c>
    </row>
    <row r="26" spans="1:12" ht="34.5" customHeight="1" outlineLevel="1">
      <c r="A26" s="241" t="s">
        <v>4</v>
      </c>
      <c r="B26" s="273" t="s">
        <v>347</v>
      </c>
      <c r="C26" s="329" t="s">
        <v>457</v>
      </c>
      <c r="D26" s="187">
        <v>6452</v>
      </c>
      <c r="E26" s="238" t="s">
        <v>268</v>
      </c>
      <c r="F26" s="237"/>
      <c r="G26" s="362">
        <v>12500000</v>
      </c>
      <c r="H26" s="242">
        <v>12500000</v>
      </c>
      <c r="I26" s="362">
        <v>12500000</v>
      </c>
      <c r="J26" s="326"/>
      <c r="K26" s="614">
        <f t="shared" si="0"/>
        <v>12500000</v>
      </c>
      <c r="L26" s="614">
        <f t="shared" si="1"/>
        <v>0</v>
      </c>
    </row>
    <row r="27" spans="1:12" ht="34.5" customHeight="1" outlineLevel="1">
      <c r="A27" s="241" t="s">
        <v>4</v>
      </c>
      <c r="B27" s="273" t="s">
        <v>347</v>
      </c>
      <c r="C27" s="329" t="s">
        <v>457</v>
      </c>
      <c r="D27" s="187">
        <v>2128</v>
      </c>
      <c r="E27" s="238" t="s">
        <v>300</v>
      </c>
      <c r="F27" s="237"/>
      <c r="G27" s="362">
        <v>67000000</v>
      </c>
      <c r="H27" s="242">
        <v>67000000</v>
      </c>
      <c r="I27" s="362">
        <v>67000000</v>
      </c>
      <c r="J27" s="326"/>
      <c r="K27" s="614">
        <f t="shared" si="0"/>
        <v>67000000</v>
      </c>
      <c r="L27" s="614">
        <f t="shared" si="1"/>
        <v>0</v>
      </c>
    </row>
    <row r="28" spans="1:12" ht="34.5" customHeight="1" outlineLevel="1">
      <c r="A28" s="241" t="s">
        <v>4</v>
      </c>
      <c r="B28" s="273" t="s">
        <v>347</v>
      </c>
      <c r="C28" s="329" t="s">
        <v>457</v>
      </c>
      <c r="D28" s="187">
        <v>2164</v>
      </c>
      <c r="E28" s="67" t="s">
        <v>583</v>
      </c>
      <c r="F28" s="240"/>
      <c r="G28" s="362">
        <v>7000000</v>
      </c>
      <c r="H28" s="242">
        <v>7000000</v>
      </c>
      <c r="I28" s="362">
        <v>7000000</v>
      </c>
      <c r="J28" s="326"/>
      <c r="K28" s="614">
        <f t="shared" si="0"/>
        <v>7000000</v>
      </c>
      <c r="L28" s="614">
        <f t="shared" si="1"/>
        <v>0</v>
      </c>
    </row>
    <row r="29" spans="1:12" ht="34.5" customHeight="1" outlineLevel="1">
      <c r="A29" s="241" t="s">
        <v>4</v>
      </c>
      <c r="B29" s="273" t="s">
        <v>347</v>
      </c>
      <c r="C29" s="243" t="s">
        <v>457</v>
      </c>
      <c r="D29" s="187">
        <v>2162</v>
      </c>
      <c r="E29" s="67" t="s">
        <v>553</v>
      </c>
      <c r="F29" s="240"/>
      <c r="G29" s="362"/>
      <c r="H29" s="267"/>
      <c r="I29" s="362"/>
      <c r="J29" s="326"/>
      <c r="K29" s="614">
        <f t="shared" si="0"/>
        <v>0</v>
      </c>
      <c r="L29" s="614">
        <f t="shared" si="1"/>
        <v>0</v>
      </c>
    </row>
    <row r="30" spans="1:12" ht="34.5" customHeight="1" outlineLevel="1">
      <c r="A30" s="241" t="s">
        <v>4</v>
      </c>
      <c r="B30" s="273" t="s">
        <v>347</v>
      </c>
      <c r="C30" s="329" t="s">
        <v>457</v>
      </c>
      <c r="D30" s="187">
        <v>2171</v>
      </c>
      <c r="E30" s="67" t="s">
        <v>284</v>
      </c>
      <c r="F30" s="237"/>
      <c r="G30" s="362"/>
      <c r="H30" s="242"/>
      <c r="I30" s="362"/>
      <c r="J30" s="326"/>
      <c r="K30" s="614">
        <f t="shared" si="0"/>
        <v>0</v>
      </c>
      <c r="L30" s="614">
        <f t="shared" si="1"/>
        <v>0</v>
      </c>
    </row>
    <row r="31" spans="1:12" ht="34.5" customHeight="1" outlineLevel="1">
      <c r="A31" s="241" t="s">
        <v>4</v>
      </c>
      <c r="B31" s="273" t="s">
        <v>347</v>
      </c>
      <c r="C31" s="243" t="s">
        <v>457</v>
      </c>
      <c r="D31" s="187">
        <v>2178</v>
      </c>
      <c r="E31" s="67" t="s">
        <v>585</v>
      </c>
      <c r="F31" s="237"/>
      <c r="G31" s="362"/>
      <c r="H31" s="267"/>
      <c r="I31" s="362"/>
      <c r="J31" s="315"/>
      <c r="K31" s="614">
        <f t="shared" si="0"/>
        <v>0</v>
      </c>
      <c r="L31" s="614">
        <f t="shared" si="1"/>
        <v>0</v>
      </c>
    </row>
    <row r="32" spans="1:12" ht="34.5" customHeight="1" outlineLevel="1">
      <c r="A32" s="241" t="s">
        <v>4</v>
      </c>
      <c r="B32" s="273" t="s">
        <v>347</v>
      </c>
      <c r="C32" s="329" t="s">
        <v>457</v>
      </c>
      <c r="D32" s="187">
        <v>2161</v>
      </c>
      <c r="E32" s="67" t="s">
        <v>286</v>
      </c>
      <c r="F32" s="237"/>
      <c r="G32" s="362">
        <v>1000000</v>
      </c>
      <c r="H32" s="362">
        <v>1000000</v>
      </c>
      <c r="I32" s="362">
        <v>1000000</v>
      </c>
      <c r="J32" s="315"/>
      <c r="K32" s="614">
        <f t="shared" si="0"/>
        <v>1000000</v>
      </c>
      <c r="L32" s="614">
        <f t="shared" si="1"/>
        <v>0</v>
      </c>
    </row>
    <row r="33" spans="1:12" ht="34.5" customHeight="1" outlineLevel="1">
      <c r="A33" s="328" t="s">
        <v>4</v>
      </c>
      <c r="B33" s="244" t="s">
        <v>618</v>
      </c>
      <c r="C33" s="244"/>
      <c r="D33" s="257"/>
      <c r="E33" s="227"/>
      <c r="F33" s="227">
        <f>SUBTOTAL(109,F6:F27)</f>
        <v>108</v>
      </c>
      <c r="G33" s="98">
        <f>SUM(G6:G32)</f>
        <v>1161788648</v>
      </c>
      <c r="H33" s="98">
        <f>SUM(H6:H32)</f>
        <v>1177021508.99</v>
      </c>
      <c r="I33" s="98">
        <f>SUM(I6:I32)</f>
        <v>1216119914</v>
      </c>
      <c r="J33" s="581">
        <f>SUM(J6:J32)</f>
        <v>30000000</v>
      </c>
      <c r="K33" s="614">
        <f t="shared" si="0"/>
        <v>1246119914</v>
      </c>
      <c r="L33" s="614">
        <f t="shared" si="1"/>
        <v>69098405.00999999</v>
      </c>
    </row>
    <row r="34" spans="1:12" ht="34.5" customHeight="1" outlineLevel="1">
      <c r="A34" s="328" t="s">
        <v>17</v>
      </c>
      <c r="B34" s="312" t="s">
        <v>18</v>
      </c>
      <c r="C34" s="312"/>
      <c r="D34" s="257"/>
      <c r="E34" s="227"/>
      <c r="F34" s="227"/>
      <c r="G34" s="98"/>
      <c r="H34" s="98"/>
      <c r="I34" s="98"/>
      <c r="J34" s="326"/>
      <c r="K34" s="614">
        <f t="shared" si="0"/>
        <v>0</v>
      </c>
      <c r="L34" s="614">
        <f t="shared" si="1"/>
        <v>0</v>
      </c>
    </row>
    <row r="35" spans="1:12" ht="34.5" customHeight="1" outlineLevel="1">
      <c r="A35" s="328" t="s">
        <v>17</v>
      </c>
      <c r="B35" s="273" t="s">
        <v>348</v>
      </c>
      <c r="C35" s="273" t="s">
        <v>459</v>
      </c>
      <c r="D35" s="257" t="s">
        <v>18</v>
      </c>
      <c r="E35" s="227"/>
      <c r="F35" s="227"/>
      <c r="G35" s="98"/>
      <c r="H35" s="98"/>
      <c r="I35" s="98"/>
      <c r="J35" s="326"/>
      <c r="K35" s="614">
        <f t="shared" si="0"/>
        <v>0</v>
      </c>
      <c r="L35" s="614">
        <f t="shared" si="1"/>
        <v>0</v>
      </c>
    </row>
    <row r="36" spans="1:12" ht="34.5" customHeight="1" outlineLevel="1">
      <c r="A36" s="241" t="s">
        <v>17</v>
      </c>
      <c r="B36" s="273" t="s">
        <v>348</v>
      </c>
      <c r="C36" s="273" t="s">
        <v>459</v>
      </c>
      <c r="D36" s="188">
        <v>6611</v>
      </c>
      <c r="E36" s="192" t="s">
        <v>6</v>
      </c>
      <c r="F36" s="226">
        <v>44</v>
      </c>
      <c r="G36" s="242">
        <v>207955188</v>
      </c>
      <c r="H36" s="242">
        <v>168878921.3</v>
      </c>
      <c r="I36" s="242">
        <v>207955188</v>
      </c>
      <c r="J36" s="326">
        <f>-6000000-12000000</f>
        <v>-18000000</v>
      </c>
      <c r="K36" s="614">
        <f t="shared" si="0"/>
        <v>189955188</v>
      </c>
      <c r="L36" s="614">
        <f t="shared" si="1"/>
        <v>21076266.699999988</v>
      </c>
    </row>
    <row r="37" spans="1:12" ht="34.5" customHeight="1" outlineLevel="1">
      <c r="A37" s="241" t="s">
        <v>17</v>
      </c>
      <c r="B37" s="273" t="s">
        <v>348</v>
      </c>
      <c r="C37" s="273" t="s">
        <v>459</v>
      </c>
      <c r="D37" s="188">
        <v>60100</v>
      </c>
      <c r="E37" s="231" t="s">
        <v>7</v>
      </c>
      <c r="F37" s="226"/>
      <c r="G37" s="242">
        <v>5929733</v>
      </c>
      <c r="H37" s="242">
        <v>5929733</v>
      </c>
      <c r="I37" s="242">
        <v>5929733</v>
      </c>
      <c r="J37" s="326"/>
      <c r="K37" s="614">
        <f t="shared" si="0"/>
        <v>5929733</v>
      </c>
      <c r="L37" s="614">
        <f t="shared" si="1"/>
        <v>0</v>
      </c>
    </row>
    <row r="38" spans="1:12" ht="34.5" customHeight="1" outlineLevel="1">
      <c r="A38" s="241" t="s">
        <v>17</v>
      </c>
      <c r="B38" s="273" t="s">
        <v>348</v>
      </c>
      <c r="C38" s="273" t="s">
        <v>459</v>
      </c>
      <c r="D38" s="188">
        <v>60101</v>
      </c>
      <c r="E38" s="231" t="s">
        <v>255</v>
      </c>
      <c r="F38" s="226"/>
      <c r="G38" s="242">
        <v>4500000</v>
      </c>
      <c r="H38" s="242">
        <v>4500000</v>
      </c>
      <c r="I38" s="242">
        <v>4500000</v>
      </c>
      <c r="J38" s="326"/>
      <c r="K38" s="614">
        <f t="shared" si="0"/>
        <v>4500000</v>
      </c>
      <c r="L38" s="614">
        <f t="shared" si="1"/>
        <v>0</v>
      </c>
    </row>
    <row r="39" spans="1:12" ht="34.5" customHeight="1" outlineLevel="1">
      <c r="A39" s="241" t="s">
        <v>17</v>
      </c>
      <c r="B39" s="273" t="s">
        <v>348</v>
      </c>
      <c r="C39" s="273" t="s">
        <v>459</v>
      </c>
      <c r="D39" s="188">
        <v>6041</v>
      </c>
      <c r="E39" s="231" t="s">
        <v>8</v>
      </c>
      <c r="F39" s="226"/>
      <c r="G39" s="242"/>
      <c r="H39" s="242"/>
      <c r="I39" s="242"/>
      <c r="J39" s="326"/>
      <c r="K39" s="614">
        <f t="shared" si="0"/>
        <v>0</v>
      </c>
      <c r="L39" s="614">
        <f t="shared" si="1"/>
        <v>0</v>
      </c>
    </row>
    <row r="40" spans="1:12" ht="34.5" customHeight="1" outlineLevel="1">
      <c r="A40" s="241" t="s">
        <v>17</v>
      </c>
      <c r="B40" s="273" t="s">
        <v>348</v>
      </c>
      <c r="C40" s="273" t="s">
        <v>459</v>
      </c>
      <c r="D40" s="188">
        <v>6018</v>
      </c>
      <c r="E40" s="231" t="s">
        <v>215</v>
      </c>
      <c r="F40" s="226"/>
      <c r="G40" s="242"/>
      <c r="H40" s="242"/>
      <c r="I40" s="242"/>
      <c r="J40" s="326"/>
      <c r="K40" s="614">
        <f t="shared" si="0"/>
        <v>0</v>
      </c>
      <c r="L40" s="614">
        <f t="shared" si="1"/>
        <v>0</v>
      </c>
    </row>
    <row r="41" spans="1:12" ht="34.5" customHeight="1" outlineLevel="1">
      <c r="A41" s="241" t="s">
        <v>17</v>
      </c>
      <c r="B41" s="273" t="s">
        <v>348</v>
      </c>
      <c r="C41" s="273" t="s">
        <v>459</v>
      </c>
      <c r="D41" s="188">
        <v>6122</v>
      </c>
      <c r="E41" s="235" t="s">
        <v>582</v>
      </c>
      <c r="F41" s="226"/>
      <c r="G41" s="242">
        <v>5500000</v>
      </c>
      <c r="H41" s="242">
        <v>5500000</v>
      </c>
      <c r="I41" s="242">
        <v>5500000</v>
      </c>
      <c r="J41" s="326"/>
      <c r="K41" s="614">
        <f t="shared" si="0"/>
        <v>5500000</v>
      </c>
      <c r="L41" s="614">
        <f t="shared" si="1"/>
        <v>0</v>
      </c>
    </row>
    <row r="42" spans="1:12" ht="34.5" customHeight="1" outlineLevel="1">
      <c r="A42" s="241" t="s">
        <v>17</v>
      </c>
      <c r="B42" s="273" t="s">
        <v>348</v>
      </c>
      <c r="C42" s="273" t="s">
        <v>459</v>
      </c>
      <c r="D42" s="187">
        <v>6133</v>
      </c>
      <c r="E42" s="68" t="s">
        <v>9</v>
      </c>
      <c r="F42" s="226"/>
      <c r="G42" s="242">
        <v>6500000</v>
      </c>
      <c r="H42" s="242">
        <v>6500000</v>
      </c>
      <c r="I42" s="242">
        <v>6500000</v>
      </c>
      <c r="J42" s="326"/>
      <c r="K42" s="614">
        <f t="shared" si="0"/>
        <v>6500000</v>
      </c>
      <c r="L42" s="614">
        <f t="shared" si="1"/>
        <v>0</v>
      </c>
    </row>
    <row r="43" spans="1:12" ht="34.5" customHeight="1" outlineLevel="1">
      <c r="A43" s="241" t="s">
        <v>17</v>
      </c>
      <c r="B43" s="273" t="s">
        <v>348</v>
      </c>
      <c r="C43" s="273" t="s">
        <v>459</v>
      </c>
      <c r="D43" s="188">
        <v>6052</v>
      </c>
      <c r="E43" s="235" t="s">
        <v>10</v>
      </c>
      <c r="F43" s="226"/>
      <c r="G43" s="242"/>
      <c r="H43" s="242"/>
      <c r="I43" s="242"/>
      <c r="J43" s="326"/>
      <c r="K43" s="614">
        <f t="shared" si="0"/>
        <v>0</v>
      </c>
      <c r="L43" s="614">
        <f t="shared" si="1"/>
        <v>0</v>
      </c>
    </row>
    <row r="44" spans="1:12" ht="34.5" customHeight="1" outlineLevel="1">
      <c r="A44" s="241" t="s">
        <v>17</v>
      </c>
      <c r="B44" s="273" t="s">
        <v>348</v>
      </c>
      <c r="C44" s="273" t="s">
        <v>459</v>
      </c>
      <c r="D44" s="188">
        <v>6111</v>
      </c>
      <c r="E44" s="239" t="s">
        <v>11</v>
      </c>
      <c r="F44" s="240"/>
      <c r="G44" s="242"/>
      <c r="H44" s="242"/>
      <c r="I44" s="242"/>
      <c r="J44" s="326"/>
      <c r="K44" s="614">
        <f t="shared" si="0"/>
        <v>0</v>
      </c>
      <c r="L44" s="614">
        <f t="shared" si="1"/>
        <v>0</v>
      </c>
    </row>
    <row r="45" spans="1:12" ht="34.5" customHeight="1" outlineLevel="1">
      <c r="A45" s="241" t="s">
        <v>17</v>
      </c>
      <c r="B45" s="273" t="s">
        <v>348</v>
      </c>
      <c r="C45" s="273" t="s">
        <v>459</v>
      </c>
      <c r="D45" s="188">
        <v>6112</v>
      </c>
      <c r="E45" s="235" t="s">
        <v>12</v>
      </c>
      <c r="F45" s="236"/>
      <c r="G45" s="242">
        <v>7500000</v>
      </c>
      <c r="H45" s="242">
        <v>7500000</v>
      </c>
      <c r="I45" s="242">
        <v>7500000</v>
      </c>
      <c r="J45" s="326"/>
      <c r="K45" s="614">
        <f t="shared" si="0"/>
        <v>7500000</v>
      </c>
      <c r="L45" s="614">
        <f t="shared" si="1"/>
        <v>0</v>
      </c>
    </row>
    <row r="46" spans="1:12" ht="34.5" customHeight="1" outlineLevel="1">
      <c r="A46" s="241" t="s">
        <v>17</v>
      </c>
      <c r="B46" s="273" t="s">
        <v>348</v>
      </c>
      <c r="C46" s="245"/>
      <c r="D46" s="188">
        <v>6161</v>
      </c>
      <c r="E46" s="232" t="s">
        <v>257</v>
      </c>
      <c r="F46" s="236"/>
      <c r="G46" s="242">
        <v>24000000</v>
      </c>
      <c r="H46" s="242">
        <v>24000000</v>
      </c>
      <c r="I46" s="242">
        <v>24000000</v>
      </c>
      <c r="J46" s="326"/>
      <c r="K46" s="614">
        <f t="shared" si="0"/>
        <v>24000000</v>
      </c>
      <c r="L46" s="614">
        <f t="shared" si="1"/>
        <v>0</v>
      </c>
    </row>
    <row r="47" spans="1:12" ht="34.5" customHeight="1" outlineLevel="1">
      <c r="A47" s="241" t="s">
        <v>17</v>
      </c>
      <c r="B47" s="273" t="s">
        <v>348</v>
      </c>
      <c r="C47" s="273" t="s">
        <v>459</v>
      </c>
      <c r="D47" s="187">
        <v>6171</v>
      </c>
      <c r="E47" s="68" t="s">
        <v>214</v>
      </c>
      <c r="F47" s="226"/>
      <c r="G47" s="242"/>
      <c r="H47" s="242"/>
      <c r="I47" s="242"/>
      <c r="J47" s="326"/>
      <c r="K47" s="614">
        <f t="shared" si="0"/>
        <v>0</v>
      </c>
      <c r="L47" s="614">
        <f t="shared" si="1"/>
        <v>0</v>
      </c>
    </row>
    <row r="48" spans="1:12" ht="34.5" customHeight="1" outlineLevel="1">
      <c r="A48" s="241" t="s">
        <v>17</v>
      </c>
      <c r="B48" s="273" t="s">
        <v>348</v>
      </c>
      <c r="C48" s="273" t="s">
        <v>459</v>
      </c>
      <c r="D48" s="188">
        <v>6173</v>
      </c>
      <c r="E48" s="192" t="s">
        <v>19</v>
      </c>
      <c r="F48" s="226"/>
      <c r="G48" s="242">
        <v>0</v>
      </c>
      <c r="H48" s="242">
        <v>18000000</v>
      </c>
      <c r="I48" s="242">
        <v>0</v>
      </c>
      <c r="J48" s="326">
        <f>6000000+12000000</f>
        <v>18000000</v>
      </c>
      <c r="K48" s="614">
        <f t="shared" si="0"/>
        <v>18000000</v>
      </c>
      <c r="L48" s="614">
        <f t="shared" si="1"/>
        <v>0</v>
      </c>
    </row>
    <row r="49" spans="1:12" ht="34.5" customHeight="1" outlineLevel="1">
      <c r="A49" s="241" t="s">
        <v>17</v>
      </c>
      <c r="B49" s="273" t="s">
        <v>348</v>
      </c>
      <c r="C49" s="273" t="s">
        <v>459</v>
      </c>
      <c r="D49" s="187">
        <v>6175</v>
      </c>
      <c r="E49" s="68" t="s">
        <v>13</v>
      </c>
      <c r="F49" s="226"/>
      <c r="G49" s="242">
        <v>1500000</v>
      </c>
      <c r="H49" s="242">
        <v>1500000</v>
      </c>
      <c r="I49" s="242">
        <v>1500000</v>
      </c>
      <c r="J49" s="326"/>
      <c r="K49" s="614">
        <f t="shared" si="0"/>
        <v>1500000</v>
      </c>
      <c r="L49" s="614">
        <f t="shared" si="1"/>
        <v>0</v>
      </c>
    </row>
    <row r="50" spans="1:12" ht="34.5" customHeight="1" outlineLevel="1">
      <c r="A50" s="241" t="s">
        <v>17</v>
      </c>
      <c r="B50" s="273" t="s">
        <v>348</v>
      </c>
      <c r="C50" s="273" t="s">
        <v>459</v>
      </c>
      <c r="D50" s="246">
        <v>6452</v>
      </c>
      <c r="E50" s="247" t="s">
        <v>15</v>
      </c>
      <c r="F50" s="226"/>
      <c r="G50" s="242">
        <v>0</v>
      </c>
      <c r="H50" s="242"/>
      <c r="I50" s="242">
        <v>0</v>
      </c>
      <c r="J50" s="326"/>
      <c r="K50" s="614">
        <f t="shared" si="0"/>
        <v>0</v>
      </c>
      <c r="L50" s="614">
        <f t="shared" si="1"/>
        <v>0</v>
      </c>
    </row>
    <row r="51" spans="1:12" ht="34.5" customHeight="1" outlineLevel="1">
      <c r="A51" s="241" t="s">
        <v>17</v>
      </c>
      <c r="B51" s="273" t="s">
        <v>348</v>
      </c>
      <c r="C51" s="273" t="s">
        <v>459</v>
      </c>
      <c r="D51" s="187">
        <v>2164</v>
      </c>
      <c r="E51" s="67" t="s">
        <v>583</v>
      </c>
      <c r="F51" s="240"/>
      <c r="G51" s="242"/>
      <c r="H51" s="242"/>
      <c r="I51" s="242"/>
      <c r="J51" s="326"/>
      <c r="K51" s="614">
        <f t="shared" si="0"/>
        <v>0</v>
      </c>
      <c r="L51" s="614">
        <f t="shared" si="1"/>
        <v>0</v>
      </c>
    </row>
    <row r="52" spans="1:12" ht="34.5" customHeight="1" outlineLevel="1">
      <c r="A52" s="241" t="s">
        <v>17</v>
      </c>
      <c r="B52" s="273" t="s">
        <v>348</v>
      </c>
      <c r="C52" s="273" t="s">
        <v>459</v>
      </c>
      <c r="D52" s="187">
        <v>2171</v>
      </c>
      <c r="E52" s="68" t="s">
        <v>284</v>
      </c>
      <c r="F52" s="237"/>
      <c r="G52" s="242"/>
      <c r="H52" s="242"/>
      <c r="I52" s="242"/>
      <c r="J52" s="326"/>
      <c r="K52" s="614">
        <f t="shared" si="0"/>
        <v>0</v>
      </c>
      <c r="L52" s="614">
        <f t="shared" si="1"/>
        <v>0</v>
      </c>
    </row>
    <row r="53" spans="1:12" ht="34.5" customHeight="1" outlineLevel="1">
      <c r="A53" s="328" t="s">
        <v>17</v>
      </c>
      <c r="B53" s="273" t="s">
        <v>348</v>
      </c>
      <c r="C53" s="273" t="s">
        <v>459</v>
      </c>
      <c r="D53" s="257" t="s">
        <v>20</v>
      </c>
      <c r="E53" s="227"/>
      <c r="F53" s="227"/>
      <c r="G53" s="98">
        <f>SUBTOTAL(109,G36:G52)</f>
        <v>263384921</v>
      </c>
      <c r="H53" s="98">
        <f>SUBTOTAL(109,H36:H52)</f>
        <v>242308654.3</v>
      </c>
      <c r="I53" s="98">
        <f>SUBTOTAL(109,I36:I52)</f>
        <v>263384921</v>
      </c>
      <c r="J53" s="581">
        <f>SUBTOTAL(109,J36:J52)</f>
        <v>0</v>
      </c>
      <c r="K53" s="614">
        <f t="shared" si="0"/>
        <v>263384921</v>
      </c>
      <c r="L53" s="614">
        <f t="shared" si="1"/>
        <v>21076266.699999988</v>
      </c>
    </row>
    <row r="54" spans="1:12" ht="34.5" customHeight="1" outlineLevel="1">
      <c r="A54" s="328" t="s">
        <v>17</v>
      </c>
      <c r="B54" s="273" t="s">
        <v>349</v>
      </c>
      <c r="C54" s="273" t="s">
        <v>459</v>
      </c>
      <c r="D54" s="255" t="s">
        <v>460</v>
      </c>
      <c r="E54" s="227"/>
      <c r="F54" s="227"/>
      <c r="G54" s="98"/>
      <c r="H54" s="98"/>
      <c r="I54" s="98"/>
      <c r="J54" s="326"/>
      <c r="K54" s="614">
        <f t="shared" si="0"/>
        <v>0</v>
      </c>
      <c r="L54" s="614">
        <f t="shared" si="1"/>
        <v>0</v>
      </c>
    </row>
    <row r="55" spans="1:12" ht="34.5" customHeight="1" outlineLevel="1">
      <c r="A55" s="241" t="s">
        <v>17</v>
      </c>
      <c r="B55" s="273" t="s">
        <v>349</v>
      </c>
      <c r="C55" s="273" t="s">
        <v>459</v>
      </c>
      <c r="D55" s="188">
        <v>6611</v>
      </c>
      <c r="E55" s="192" t="s">
        <v>6</v>
      </c>
      <c r="F55" s="226"/>
      <c r="G55" s="242"/>
      <c r="H55" s="242"/>
      <c r="I55" s="242"/>
      <c r="J55" s="326"/>
      <c r="K55" s="614">
        <f t="shared" si="0"/>
        <v>0</v>
      </c>
      <c r="L55" s="614">
        <f t="shared" si="1"/>
        <v>0</v>
      </c>
    </row>
    <row r="56" spans="1:12" ht="30" customHeight="1" outlineLevel="1">
      <c r="A56" s="241" t="s">
        <v>17</v>
      </c>
      <c r="B56" s="273" t="s">
        <v>349</v>
      </c>
      <c r="C56" s="273" t="s">
        <v>459</v>
      </c>
      <c r="D56" s="188">
        <v>6173</v>
      </c>
      <c r="E56" s="192" t="s">
        <v>19</v>
      </c>
      <c r="F56" s="226"/>
      <c r="G56" s="242"/>
      <c r="H56" s="242"/>
      <c r="I56" s="242"/>
      <c r="J56" s="326"/>
      <c r="K56" s="614">
        <f t="shared" si="0"/>
        <v>0</v>
      </c>
      <c r="L56" s="614">
        <f t="shared" si="1"/>
        <v>0</v>
      </c>
    </row>
    <row r="57" spans="1:12" ht="30" customHeight="1" outlineLevel="1">
      <c r="A57" s="328" t="s">
        <v>17</v>
      </c>
      <c r="B57" s="273" t="s">
        <v>349</v>
      </c>
      <c r="C57" s="273" t="s">
        <v>459</v>
      </c>
      <c r="D57" s="257" t="s">
        <v>20</v>
      </c>
      <c r="E57" s="227"/>
      <c r="F57" s="227"/>
      <c r="G57" s="98">
        <f>SUBTOTAL(109,G55:G56)</f>
        <v>0</v>
      </c>
      <c r="H57" s="98">
        <f>SUBTOTAL(109,H55:H56)</f>
        <v>0</v>
      </c>
      <c r="I57" s="98">
        <f>SUBTOTAL(109,I55:I56)</f>
        <v>0</v>
      </c>
      <c r="J57" s="98"/>
      <c r="K57" s="614">
        <f t="shared" si="0"/>
        <v>0</v>
      </c>
      <c r="L57" s="614">
        <f t="shared" si="1"/>
        <v>0</v>
      </c>
    </row>
    <row r="58" spans="1:12" ht="30" customHeight="1" outlineLevel="1">
      <c r="A58" s="328" t="s">
        <v>17</v>
      </c>
      <c r="B58" s="244" t="s">
        <v>618</v>
      </c>
      <c r="C58" s="273"/>
      <c r="D58" s="188"/>
      <c r="E58" s="226"/>
      <c r="F58" s="226">
        <f>SUBTOTAL(109,F34:F57)</f>
        <v>44</v>
      </c>
      <c r="G58" s="98">
        <f>G53+G57</f>
        <v>263384921</v>
      </c>
      <c r="H58" s="98">
        <f>H53+H57</f>
        <v>242308654.3</v>
      </c>
      <c r="I58" s="98">
        <f>I53+I57</f>
        <v>263384921</v>
      </c>
      <c r="J58" s="581">
        <f>J53+J57</f>
        <v>0</v>
      </c>
      <c r="K58" s="614">
        <f t="shared" si="0"/>
        <v>263384921</v>
      </c>
      <c r="L58" s="614">
        <f t="shared" si="1"/>
        <v>21076266.699999988</v>
      </c>
    </row>
    <row r="59" spans="1:12" ht="34.5" customHeight="1">
      <c r="A59" s="331" t="s">
        <v>22</v>
      </c>
      <c r="B59" s="248" t="s">
        <v>21</v>
      </c>
      <c r="C59" s="248"/>
      <c r="D59" s="191"/>
      <c r="E59" s="251"/>
      <c r="F59" s="251"/>
      <c r="G59" s="242"/>
      <c r="H59" s="242"/>
      <c r="I59" s="242"/>
      <c r="J59" s="326"/>
      <c r="K59" s="614">
        <f t="shared" si="0"/>
        <v>0</v>
      </c>
      <c r="L59" s="614">
        <f t="shared" si="1"/>
        <v>0</v>
      </c>
    </row>
    <row r="60" spans="1:12" ht="34.5" customHeight="1">
      <c r="A60" s="331" t="s">
        <v>22</v>
      </c>
      <c r="B60" s="273" t="s">
        <v>350</v>
      </c>
      <c r="C60" s="273" t="s">
        <v>457</v>
      </c>
      <c r="D60" s="249" t="s">
        <v>23</v>
      </c>
      <c r="E60" s="251"/>
      <c r="F60" s="251"/>
      <c r="G60" s="242"/>
      <c r="H60" s="242"/>
      <c r="I60" s="242"/>
      <c r="J60" s="326"/>
      <c r="K60" s="614">
        <f t="shared" si="0"/>
        <v>0</v>
      </c>
      <c r="L60" s="614">
        <f t="shared" si="1"/>
        <v>0</v>
      </c>
    </row>
    <row r="61" spans="1:12" ht="34.5" customHeight="1">
      <c r="A61" s="331" t="s">
        <v>22</v>
      </c>
      <c r="B61" s="273" t="s">
        <v>350</v>
      </c>
      <c r="C61" s="273" t="s">
        <v>457</v>
      </c>
      <c r="D61" s="191">
        <v>6611</v>
      </c>
      <c r="E61" s="250" t="s">
        <v>6</v>
      </c>
      <c r="F61" s="251">
        <v>41</v>
      </c>
      <c r="G61" s="242">
        <v>121695600</v>
      </c>
      <c r="H61" s="242">
        <v>136875032.55</v>
      </c>
      <c r="I61" s="242">
        <v>121695600</v>
      </c>
      <c r="J61" s="326"/>
      <c r="K61" s="614">
        <f t="shared" si="0"/>
        <v>121695600</v>
      </c>
      <c r="L61" s="614">
        <f t="shared" si="1"/>
        <v>-15179432.550000012</v>
      </c>
    </row>
    <row r="62" spans="1:12" ht="34.5" customHeight="1">
      <c r="A62" s="331" t="s">
        <v>22</v>
      </c>
      <c r="B62" s="273" t="s">
        <v>350</v>
      </c>
      <c r="C62" s="273" t="s">
        <v>457</v>
      </c>
      <c r="D62" s="188">
        <v>60100</v>
      </c>
      <c r="E62" s="179" t="s">
        <v>47</v>
      </c>
      <c r="F62" s="226"/>
      <c r="G62" s="242">
        <v>1800000</v>
      </c>
      <c r="H62" s="242">
        <v>1350000</v>
      </c>
      <c r="I62" s="242">
        <v>1800000</v>
      </c>
      <c r="J62" s="326"/>
      <c r="K62" s="614">
        <f t="shared" si="0"/>
        <v>1800000</v>
      </c>
      <c r="L62" s="614">
        <f t="shared" si="1"/>
        <v>450000</v>
      </c>
    </row>
    <row r="63" spans="1:12" ht="34.5" customHeight="1">
      <c r="A63" s="331" t="s">
        <v>22</v>
      </c>
      <c r="B63" s="273" t="s">
        <v>350</v>
      </c>
      <c r="C63" s="273" t="s">
        <v>457</v>
      </c>
      <c r="D63" s="188">
        <v>60101</v>
      </c>
      <c r="E63" s="179" t="s">
        <v>297</v>
      </c>
      <c r="F63" s="226"/>
      <c r="G63" s="242">
        <v>800000</v>
      </c>
      <c r="H63" s="242">
        <v>600000</v>
      </c>
      <c r="I63" s="242">
        <v>800000</v>
      </c>
      <c r="J63" s="576"/>
      <c r="K63" s="614">
        <f t="shared" si="0"/>
        <v>800000</v>
      </c>
      <c r="L63" s="614">
        <f t="shared" si="1"/>
        <v>200000</v>
      </c>
    </row>
    <row r="64" spans="1:12" ht="34.5" customHeight="1">
      <c r="A64" s="331" t="s">
        <v>22</v>
      </c>
      <c r="B64" s="273" t="s">
        <v>350</v>
      </c>
      <c r="C64" s="273" t="s">
        <v>457</v>
      </c>
      <c r="D64" s="188">
        <v>6041</v>
      </c>
      <c r="E64" s="179" t="s">
        <v>8</v>
      </c>
      <c r="F64" s="226"/>
      <c r="G64" s="242">
        <v>22596000</v>
      </c>
      <c r="H64" s="242">
        <v>16947000</v>
      </c>
      <c r="I64" s="326">
        <v>22596000</v>
      </c>
      <c r="J64" s="326"/>
      <c r="K64" s="614">
        <f t="shared" si="0"/>
        <v>22596000</v>
      </c>
      <c r="L64" s="614">
        <f t="shared" si="1"/>
        <v>5649000</v>
      </c>
    </row>
    <row r="65" spans="1:12" ht="34.5" customHeight="1">
      <c r="A65" s="331" t="s">
        <v>22</v>
      </c>
      <c r="B65" s="273" t="s">
        <v>350</v>
      </c>
      <c r="C65" s="273" t="s">
        <v>457</v>
      </c>
      <c r="D65" s="188">
        <v>6018</v>
      </c>
      <c r="E65" s="179" t="s">
        <v>215</v>
      </c>
      <c r="F65" s="226"/>
      <c r="G65" s="242"/>
      <c r="H65" s="242"/>
      <c r="I65" s="242"/>
      <c r="J65" s="326"/>
      <c r="K65" s="614">
        <f t="shared" si="0"/>
        <v>0</v>
      </c>
      <c r="L65" s="614">
        <f t="shared" si="1"/>
        <v>0</v>
      </c>
    </row>
    <row r="66" spans="1:12" ht="34.5" customHeight="1">
      <c r="A66" s="331" t="s">
        <v>22</v>
      </c>
      <c r="B66" s="273" t="s">
        <v>350</v>
      </c>
      <c r="C66" s="273" t="s">
        <v>457</v>
      </c>
      <c r="D66" s="188">
        <v>6122</v>
      </c>
      <c r="E66" s="235" t="s">
        <v>582</v>
      </c>
      <c r="F66" s="226"/>
      <c r="G66" s="242">
        <v>1000000</v>
      </c>
      <c r="H66" s="242">
        <v>500000</v>
      </c>
      <c r="I66" s="242">
        <v>1000000</v>
      </c>
      <c r="J66" s="326"/>
      <c r="K66" s="614">
        <f t="shared" si="0"/>
        <v>1000000</v>
      </c>
      <c r="L66" s="614">
        <f t="shared" si="1"/>
        <v>500000</v>
      </c>
    </row>
    <row r="67" spans="1:12" ht="34.5" customHeight="1">
      <c r="A67" s="331" t="s">
        <v>22</v>
      </c>
      <c r="B67" s="273" t="s">
        <v>350</v>
      </c>
      <c r="C67" s="273" t="s">
        <v>457</v>
      </c>
      <c r="D67" s="188">
        <v>6131</v>
      </c>
      <c r="E67" s="179" t="s">
        <v>562</v>
      </c>
      <c r="F67" s="226"/>
      <c r="G67" s="242"/>
      <c r="H67" s="242"/>
      <c r="I67" s="242"/>
      <c r="J67" s="326"/>
      <c r="K67" s="614">
        <f t="shared" si="0"/>
        <v>0</v>
      </c>
      <c r="L67" s="614">
        <f t="shared" si="1"/>
        <v>0</v>
      </c>
    </row>
    <row r="68" spans="1:12" ht="34.5" customHeight="1">
      <c r="A68" s="331" t="s">
        <v>22</v>
      </c>
      <c r="B68" s="273" t="s">
        <v>350</v>
      </c>
      <c r="C68" s="273" t="s">
        <v>457</v>
      </c>
      <c r="D68" s="188">
        <v>6052</v>
      </c>
      <c r="E68" s="235" t="s">
        <v>598</v>
      </c>
      <c r="F68" s="226"/>
      <c r="G68" s="242">
        <v>600000</v>
      </c>
      <c r="H68" s="242">
        <v>300000</v>
      </c>
      <c r="I68" s="326">
        <v>600000</v>
      </c>
      <c r="J68" s="326"/>
      <c r="K68" s="614">
        <f t="shared" si="0"/>
        <v>600000</v>
      </c>
      <c r="L68" s="614">
        <f t="shared" si="1"/>
        <v>300000</v>
      </c>
    </row>
    <row r="69" spans="1:12" ht="34.5" customHeight="1">
      <c r="A69" s="331" t="s">
        <v>22</v>
      </c>
      <c r="B69" s="273" t="s">
        <v>350</v>
      </c>
      <c r="C69" s="273" t="s">
        <v>457</v>
      </c>
      <c r="D69" s="188">
        <v>6161</v>
      </c>
      <c r="E69" s="179" t="s">
        <v>257</v>
      </c>
      <c r="F69" s="226"/>
      <c r="G69" s="242">
        <v>1000000</v>
      </c>
      <c r="H69" s="242">
        <v>750000</v>
      </c>
      <c r="I69" s="326">
        <v>1000000</v>
      </c>
      <c r="J69" s="326"/>
      <c r="K69" s="614">
        <f t="shared" si="0"/>
        <v>1000000</v>
      </c>
      <c r="L69" s="614">
        <f t="shared" si="1"/>
        <v>250000</v>
      </c>
    </row>
    <row r="70" spans="1:12" ht="34.5" customHeight="1">
      <c r="A70" s="331" t="s">
        <v>22</v>
      </c>
      <c r="B70" s="273" t="s">
        <v>350</v>
      </c>
      <c r="C70" s="273" t="s">
        <v>457</v>
      </c>
      <c r="D70" s="188">
        <v>6162</v>
      </c>
      <c r="E70" s="179" t="s">
        <v>552</v>
      </c>
      <c r="F70" s="226"/>
      <c r="G70" s="242"/>
      <c r="H70" s="242"/>
      <c r="I70" s="242"/>
      <c r="J70" s="326"/>
      <c r="K70" s="614">
        <f aca="true" t="shared" si="2" ref="K70:K133">I70+J70</f>
        <v>0</v>
      </c>
      <c r="L70" s="614">
        <f t="shared" si="1"/>
        <v>0</v>
      </c>
    </row>
    <row r="71" spans="1:12" ht="34.5" customHeight="1">
      <c r="A71" s="331" t="s">
        <v>22</v>
      </c>
      <c r="B71" s="273" t="s">
        <v>350</v>
      </c>
      <c r="C71" s="273" t="s">
        <v>457</v>
      </c>
      <c r="D71" s="188">
        <v>6172</v>
      </c>
      <c r="E71" s="179" t="s">
        <v>157</v>
      </c>
      <c r="F71" s="226"/>
      <c r="G71" s="242"/>
      <c r="H71" s="242"/>
      <c r="I71" s="242"/>
      <c r="J71" s="326"/>
      <c r="K71" s="614">
        <f t="shared" si="2"/>
        <v>0</v>
      </c>
      <c r="L71" s="614">
        <f aca="true" t="shared" si="3" ref="L71:L134">K71-H71</f>
        <v>0</v>
      </c>
    </row>
    <row r="72" spans="1:12" ht="34.5" customHeight="1">
      <c r="A72" s="331" t="s">
        <v>22</v>
      </c>
      <c r="B72" s="273" t="s">
        <v>350</v>
      </c>
      <c r="C72" s="273" t="s">
        <v>457</v>
      </c>
      <c r="D72" s="188">
        <v>6173</v>
      </c>
      <c r="E72" s="179" t="s">
        <v>564</v>
      </c>
      <c r="F72" s="226"/>
      <c r="G72" s="242">
        <v>0</v>
      </c>
      <c r="H72" s="242"/>
      <c r="I72" s="242">
        <v>0</v>
      </c>
      <c r="J72" s="326"/>
      <c r="K72" s="614">
        <f t="shared" si="2"/>
        <v>0</v>
      </c>
      <c r="L72" s="614">
        <f t="shared" si="3"/>
        <v>0</v>
      </c>
    </row>
    <row r="73" spans="1:12" ht="34.5" customHeight="1">
      <c r="A73" s="331" t="s">
        <v>22</v>
      </c>
      <c r="B73" s="273" t="s">
        <v>350</v>
      </c>
      <c r="C73" s="273" t="s">
        <v>457</v>
      </c>
      <c r="D73" s="188">
        <v>6174</v>
      </c>
      <c r="E73" s="179" t="s">
        <v>563</v>
      </c>
      <c r="F73" s="226"/>
      <c r="G73" s="242">
        <v>1250000</v>
      </c>
      <c r="H73" s="242">
        <v>937500</v>
      </c>
      <c r="I73" s="242">
        <v>1250000</v>
      </c>
      <c r="J73" s="326"/>
      <c r="K73" s="614">
        <f t="shared" si="2"/>
        <v>1250000</v>
      </c>
      <c r="L73" s="614">
        <f t="shared" si="3"/>
        <v>312500</v>
      </c>
    </row>
    <row r="74" spans="1:12" ht="34.5" customHeight="1">
      <c r="A74" s="331" t="s">
        <v>22</v>
      </c>
      <c r="B74" s="273" t="s">
        <v>350</v>
      </c>
      <c r="C74" s="273" t="s">
        <v>457</v>
      </c>
      <c r="D74" s="268" t="s">
        <v>20</v>
      </c>
      <c r="E74" s="251"/>
      <c r="F74" s="251"/>
      <c r="G74" s="98">
        <f>SUBTOTAL(109,G61:G73)</f>
        <v>150741600</v>
      </c>
      <c r="H74" s="98">
        <f>SUBTOTAL(109,H61:H73)</f>
        <v>158259532.55</v>
      </c>
      <c r="I74" s="98">
        <f>SUBTOTAL(109,I61:I73)</f>
        <v>150741600</v>
      </c>
      <c r="J74" s="98"/>
      <c r="K74" s="614">
        <f t="shared" si="2"/>
        <v>150741600</v>
      </c>
      <c r="L74" s="614">
        <f t="shared" si="3"/>
        <v>-7517932.550000012</v>
      </c>
    </row>
    <row r="75" spans="1:12" ht="34.5" customHeight="1">
      <c r="A75" s="331" t="s">
        <v>22</v>
      </c>
      <c r="B75" s="333" t="s">
        <v>618</v>
      </c>
      <c r="C75" s="333"/>
      <c r="D75" s="191"/>
      <c r="E75" s="251"/>
      <c r="F75" s="251">
        <f>SUBTOTAL(109,F59:F74)</f>
        <v>41</v>
      </c>
      <c r="G75" s="98">
        <f>G74</f>
        <v>150741600</v>
      </c>
      <c r="H75" s="98">
        <f>H74</f>
        <v>158259532.55</v>
      </c>
      <c r="I75" s="98">
        <f>I74</f>
        <v>150741600</v>
      </c>
      <c r="J75" s="98"/>
      <c r="K75" s="614">
        <f t="shared" si="2"/>
        <v>150741600</v>
      </c>
      <c r="L75" s="614">
        <f t="shared" si="3"/>
        <v>-7517932.550000012</v>
      </c>
    </row>
    <row r="76" spans="1:12" ht="30" customHeight="1">
      <c r="A76" s="328" t="s">
        <v>24</v>
      </c>
      <c r="B76" s="309" t="s">
        <v>25</v>
      </c>
      <c r="C76" s="334"/>
      <c r="D76" s="188"/>
      <c r="E76" s="226"/>
      <c r="F76" s="226"/>
      <c r="G76" s="242"/>
      <c r="H76" s="242"/>
      <c r="I76" s="242"/>
      <c r="J76" s="326"/>
      <c r="K76" s="614">
        <f t="shared" si="2"/>
        <v>0</v>
      </c>
      <c r="L76" s="614">
        <f t="shared" si="3"/>
        <v>0</v>
      </c>
    </row>
    <row r="77" spans="1:12" ht="30" customHeight="1">
      <c r="A77" s="328" t="s">
        <v>24</v>
      </c>
      <c r="B77" s="273" t="s">
        <v>351</v>
      </c>
      <c r="C77" s="273" t="s">
        <v>457</v>
      </c>
      <c r="D77" s="252" t="s">
        <v>26</v>
      </c>
      <c r="E77" s="226"/>
      <c r="F77" s="226"/>
      <c r="G77" s="242"/>
      <c r="H77" s="267"/>
      <c r="I77" s="267"/>
      <c r="J77" s="326"/>
      <c r="K77" s="614">
        <f t="shared" si="2"/>
        <v>0</v>
      </c>
      <c r="L77" s="614">
        <f t="shared" si="3"/>
        <v>0</v>
      </c>
    </row>
    <row r="78" spans="1:12" ht="30" customHeight="1">
      <c r="A78" s="328" t="s">
        <v>24</v>
      </c>
      <c r="B78" s="273" t="s">
        <v>351</v>
      </c>
      <c r="C78" s="273" t="s">
        <v>457</v>
      </c>
      <c r="D78" s="188">
        <v>6611</v>
      </c>
      <c r="E78" s="196" t="s">
        <v>6</v>
      </c>
      <c r="F78" s="226">
        <v>50</v>
      </c>
      <c r="G78" s="242">
        <v>130000000</v>
      </c>
      <c r="H78" s="242">
        <v>171917400.73000002</v>
      </c>
      <c r="I78" s="242">
        <f>130000000+13200000</f>
        <v>143200000</v>
      </c>
      <c r="J78" s="326"/>
      <c r="K78" s="614">
        <f t="shared" si="2"/>
        <v>143200000</v>
      </c>
      <c r="L78" s="614">
        <f t="shared" si="3"/>
        <v>-28717400.73000002</v>
      </c>
    </row>
    <row r="79" spans="1:12" ht="30" customHeight="1">
      <c r="A79" s="328" t="s">
        <v>24</v>
      </c>
      <c r="B79" s="273" t="s">
        <v>351</v>
      </c>
      <c r="C79" s="273" t="s">
        <v>457</v>
      </c>
      <c r="D79" s="188">
        <v>6173</v>
      </c>
      <c r="E79" s="194" t="s">
        <v>16</v>
      </c>
      <c r="F79" s="253"/>
      <c r="G79" s="256">
        <v>100000000</v>
      </c>
      <c r="H79" s="256">
        <v>120000000</v>
      </c>
      <c r="I79" s="242">
        <f>100000000+20000000</f>
        <v>120000000</v>
      </c>
      <c r="J79" s="326"/>
      <c r="K79" s="614">
        <f t="shared" si="2"/>
        <v>120000000</v>
      </c>
      <c r="L79" s="614">
        <f t="shared" si="3"/>
        <v>0</v>
      </c>
    </row>
    <row r="80" spans="1:12" ht="30" customHeight="1">
      <c r="A80" s="328" t="s">
        <v>24</v>
      </c>
      <c r="B80" s="273" t="s">
        <v>351</v>
      </c>
      <c r="C80" s="273" t="s">
        <v>457</v>
      </c>
      <c r="D80" s="188">
        <v>6174</v>
      </c>
      <c r="E80" s="194" t="s">
        <v>27</v>
      </c>
      <c r="F80" s="253"/>
      <c r="G80" s="256">
        <v>110000000</v>
      </c>
      <c r="H80" s="256">
        <v>120000000</v>
      </c>
      <c r="I80" s="242">
        <f>110000000+10000000</f>
        <v>120000000</v>
      </c>
      <c r="J80" s="326"/>
      <c r="K80" s="614">
        <f t="shared" si="2"/>
        <v>120000000</v>
      </c>
      <c r="L80" s="614">
        <f t="shared" si="3"/>
        <v>0</v>
      </c>
    </row>
    <row r="81" spans="1:12" ht="30" customHeight="1">
      <c r="A81" s="241" t="s">
        <v>24</v>
      </c>
      <c r="B81" s="273" t="s">
        <v>351</v>
      </c>
      <c r="C81" s="273" t="s">
        <v>457</v>
      </c>
      <c r="D81" s="257" t="s">
        <v>20</v>
      </c>
      <c r="E81" s="226"/>
      <c r="F81" s="300">
        <f>SUBTOTAL(109,F78:F80)</f>
        <v>50</v>
      </c>
      <c r="G81" s="300">
        <f>SUBTOTAL(109,G78:G80)</f>
        <v>340000000</v>
      </c>
      <c r="H81" s="300">
        <f>SUBTOTAL(109,H78:H80)</f>
        <v>411917400.73</v>
      </c>
      <c r="I81" s="300">
        <f>SUBTOTAL(109,I78:I80)</f>
        <v>383200000</v>
      </c>
      <c r="J81" s="300"/>
      <c r="K81" s="614">
        <f t="shared" si="2"/>
        <v>383200000</v>
      </c>
      <c r="L81" s="614">
        <f t="shared" si="3"/>
        <v>-28717400.73000002</v>
      </c>
    </row>
    <row r="82" spans="1:12" ht="30" customHeight="1">
      <c r="A82" s="241" t="s">
        <v>24</v>
      </c>
      <c r="B82" s="273" t="s">
        <v>352</v>
      </c>
      <c r="C82" s="273" t="s">
        <v>457</v>
      </c>
      <c r="D82" s="254" t="s">
        <v>28</v>
      </c>
      <c r="E82" s="226"/>
      <c r="F82" s="226"/>
      <c r="G82" s="256"/>
      <c r="H82" s="256"/>
      <c r="I82" s="256"/>
      <c r="J82" s="326"/>
      <c r="K82" s="614">
        <f t="shared" si="2"/>
        <v>0</v>
      </c>
      <c r="L82" s="614">
        <f t="shared" si="3"/>
        <v>0</v>
      </c>
    </row>
    <row r="83" spans="1:12" ht="30" customHeight="1">
      <c r="A83" s="241" t="s">
        <v>24</v>
      </c>
      <c r="B83" s="273" t="s">
        <v>352</v>
      </c>
      <c r="C83" s="273" t="s">
        <v>457</v>
      </c>
      <c r="D83" s="188">
        <v>6611</v>
      </c>
      <c r="E83" s="192" t="s">
        <v>6</v>
      </c>
      <c r="F83" s="226">
        <f>118+65+11+16</f>
        <v>210</v>
      </c>
      <c r="G83" s="256">
        <v>556985444</v>
      </c>
      <c r="H83" s="256">
        <f>259852357.79+101503567+58090833</f>
        <v>419446757.78999996</v>
      </c>
      <c r="I83" s="256">
        <v>556985444</v>
      </c>
      <c r="J83" s="326"/>
      <c r="K83" s="614">
        <f t="shared" si="2"/>
        <v>556985444</v>
      </c>
      <c r="L83" s="614">
        <f t="shared" si="3"/>
        <v>137538686.21000004</v>
      </c>
    </row>
    <row r="84" spans="1:12" ht="30" customHeight="1">
      <c r="A84" s="241" t="s">
        <v>24</v>
      </c>
      <c r="B84" s="273" t="s">
        <v>352</v>
      </c>
      <c r="C84" s="273" t="s">
        <v>457</v>
      </c>
      <c r="D84" s="188">
        <v>60100</v>
      </c>
      <c r="E84" s="192" t="s">
        <v>7</v>
      </c>
      <c r="F84" s="226"/>
      <c r="G84" s="256">
        <v>8382253</v>
      </c>
      <c r="H84" s="256">
        <v>8382252</v>
      </c>
      <c r="I84" s="256">
        <v>8382253</v>
      </c>
      <c r="J84" s="326"/>
      <c r="K84" s="614">
        <f t="shared" si="2"/>
        <v>8382253</v>
      </c>
      <c r="L84" s="614">
        <f t="shared" si="3"/>
        <v>1</v>
      </c>
    </row>
    <row r="85" spans="1:12" ht="30" customHeight="1">
      <c r="A85" s="241" t="s">
        <v>24</v>
      </c>
      <c r="B85" s="273" t="s">
        <v>352</v>
      </c>
      <c r="C85" s="273" t="s">
        <v>457</v>
      </c>
      <c r="D85" s="188">
        <v>6041</v>
      </c>
      <c r="E85" s="179" t="s">
        <v>68</v>
      </c>
      <c r="F85" s="226"/>
      <c r="G85" s="256"/>
      <c r="H85" s="267"/>
      <c r="I85" s="256"/>
      <c r="J85" s="326"/>
      <c r="K85" s="614">
        <f t="shared" si="2"/>
        <v>0</v>
      </c>
      <c r="L85" s="614">
        <f t="shared" si="3"/>
        <v>0</v>
      </c>
    </row>
    <row r="86" spans="1:12" ht="30" customHeight="1">
      <c r="A86" s="241" t="s">
        <v>24</v>
      </c>
      <c r="B86" s="273" t="s">
        <v>352</v>
      </c>
      <c r="C86" s="273" t="s">
        <v>457</v>
      </c>
      <c r="D86" s="188">
        <v>6122</v>
      </c>
      <c r="E86" s="235" t="s">
        <v>582</v>
      </c>
      <c r="F86" s="253"/>
      <c r="G86" s="256">
        <v>6000000</v>
      </c>
      <c r="H86" s="256">
        <v>6000000</v>
      </c>
      <c r="I86" s="256">
        <v>6000000</v>
      </c>
      <c r="J86" s="326"/>
      <c r="K86" s="614">
        <f t="shared" si="2"/>
        <v>6000000</v>
      </c>
      <c r="L86" s="614">
        <f t="shared" si="3"/>
        <v>0</v>
      </c>
    </row>
    <row r="87" spans="1:12" ht="30" customHeight="1">
      <c r="A87" s="241" t="s">
        <v>24</v>
      </c>
      <c r="B87" s="273" t="s">
        <v>352</v>
      </c>
      <c r="C87" s="273" t="s">
        <v>457</v>
      </c>
      <c r="D87" s="188">
        <v>6112</v>
      </c>
      <c r="E87" s="192" t="s">
        <v>12</v>
      </c>
      <c r="F87" s="226"/>
      <c r="G87" s="256">
        <v>20000000</v>
      </c>
      <c r="H87" s="256">
        <v>20000000</v>
      </c>
      <c r="I87" s="256">
        <v>20000000</v>
      </c>
      <c r="J87" s="326"/>
      <c r="K87" s="614">
        <f t="shared" si="2"/>
        <v>20000000</v>
      </c>
      <c r="L87" s="614">
        <f t="shared" si="3"/>
        <v>0</v>
      </c>
    </row>
    <row r="88" spans="1:12" ht="30" customHeight="1">
      <c r="A88" s="241" t="s">
        <v>24</v>
      </c>
      <c r="B88" s="273" t="s">
        <v>352</v>
      </c>
      <c r="C88" s="273" t="s">
        <v>457</v>
      </c>
      <c r="D88" s="188">
        <v>6173</v>
      </c>
      <c r="E88" s="192" t="s">
        <v>19</v>
      </c>
      <c r="F88" s="226"/>
      <c r="G88" s="256">
        <v>41000000</v>
      </c>
      <c r="H88" s="256">
        <v>41000000</v>
      </c>
      <c r="I88" s="256">
        <v>41000000</v>
      </c>
      <c r="J88" s="326"/>
      <c r="K88" s="614">
        <f t="shared" si="2"/>
        <v>41000000</v>
      </c>
      <c r="L88" s="614">
        <f t="shared" si="3"/>
        <v>0</v>
      </c>
    </row>
    <row r="89" spans="1:12" ht="30" customHeight="1">
      <c r="A89" s="241" t="s">
        <v>24</v>
      </c>
      <c r="B89" s="273" t="s">
        <v>352</v>
      </c>
      <c r="C89" s="273" t="s">
        <v>457</v>
      </c>
      <c r="D89" s="188">
        <v>6175</v>
      </c>
      <c r="E89" s="194" t="s">
        <v>13</v>
      </c>
      <c r="F89" s="253"/>
      <c r="G89" s="256">
        <v>59510263</v>
      </c>
      <c r="H89" s="256">
        <v>59510263</v>
      </c>
      <c r="I89" s="256">
        <v>59510263</v>
      </c>
      <c r="J89" s="326"/>
      <c r="K89" s="614">
        <f t="shared" si="2"/>
        <v>59510263</v>
      </c>
      <c r="L89" s="614">
        <f t="shared" si="3"/>
        <v>0</v>
      </c>
    </row>
    <row r="90" spans="1:12" ht="30" customHeight="1">
      <c r="A90" s="241" t="s">
        <v>24</v>
      </c>
      <c r="B90" s="273" t="s">
        <v>352</v>
      </c>
      <c r="C90" s="273" t="s">
        <v>457</v>
      </c>
      <c r="D90" s="257" t="s">
        <v>20</v>
      </c>
      <c r="E90" s="226"/>
      <c r="F90" s="300">
        <f>SUBTOTAL(109,F83:F89)</f>
        <v>210</v>
      </c>
      <c r="G90" s="300">
        <f>SUBTOTAL(109,G83:G89)</f>
        <v>691877960</v>
      </c>
      <c r="H90" s="300">
        <f>SUBTOTAL(109,H83:H89)</f>
        <v>554339272.79</v>
      </c>
      <c r="I90" s="300">
        <f>SUBTOTAL(109,I83:I89)</f>
        <v>691877960</v>
      </c>
      <c r="J90" s="300"/>
      <c r="K90" s="614">
        <f t="shared" si="2"/>
        <v>691877960</v>
      </c>
      <c r="L90" s="614">
        <f t="shared" si="3"/>
        <v>137538687.21000004</v>
      </c>
    </row>
    <row r="91" spans="1:12" ht="30" customHeight="1">
      <c r="A91" s="241" t="s">
        <v>24</v>
      </c>
      <c r="B91" s="273" t="s">
        <v>353</v>
      </c>
      <c r="C91" s="273" t="s">
        <v>457</v>
      </c>
      <c r="D91" s="254" t="s">
        <v>29</v>
      </c>
      <c r="E91" s="226"/>
      <c r="F91" s="226"/>
      <c r="G91" s="256"/>
      <c r="H91" s="256"/>
      <c r="I91" s="256"/>
      <c r="J91" s="326"/>
      <c r="K91" s="614">
        <f t="shared" si="2"/>
        <v>0</v>
      </c>
      <c r="L91" s="614">
        <f t="shared" si="3"/>
        <v>0</v>
      </c>
    </row>
    <row r="92" spans="1:12" ht="30" customHeight="1">
      <c r="A92" s="241" t="s">
        <v>24</v>
      </c>
      <c r="B92" s="273" t="s">
        <v>353</v>
      </c>
      <c r="C92" s="273" t="s">
        <v>457</v>
      </c>
      <c r="D92" s="188">
        <v>6611</v>
      </c>
      <c r="E92" s="192" t="s">
        <v>6</v>
      </c>
      <c r="F92" s="226">
        <v>29</v>
      </c>
      <c r="G92" s="256">
        <v>257367800</v>
      </c>
      <c r="H92" s="256">
        <f>149403733.02+1636000+1800000+770000</f>
        <v>153609733.02</v>
      </c>
      <c r="I92" s="256">
        <v>257367800</v>
      </c>
      <c r="J92" s="326"/>
      <c r="K92" s="614">
        <f t="shared" si="2"/>
        <v>257367800</v>
      </c>
      <c r="L92" s="614">
        <f t="shared" si="3"/>
        <v>103758066.97999999</v>
      </c>
    </row>
    <row r="93" spans="1:12" ht="30" customHeight="1">
      <c r="A93" s="241" t="s">
        <v>24</v>
      </c>
      <c r="B93" s="273" t="s">
        <v>353</v>
      </c>
      <c r="C93" s="273" t="s">
        <v>457</v>
      </c>
      <c r="D93" s="188">
        <v>60100</v>
      </c>
      <c r="E93" s="192" t="s">
        <v>7</v>
      </c>
      <c r="F93" s="226"/>
      <c r="G93" s="256">
        <v>3000000</v>
      </c>
      <c r="H93" s="256">
        <v>2974000</v>
      </c>
      <c r="I93" s="256">
        <v>3000000</v>
      </c>
      <c r="J93" s="326"/>
      <c r="K93" s="614">
        <f t="shared" si="2"/>
        <v>3000000</v>
      </c>
      <c r="L93" s="614">
        <f t="shared" si="3"/>
        <v>26000</v>
      </c>
    </row>
    <row r="94" spans="1:12" ht="30" customHeight="1">
      <c r="A94" s="241" t="s">
        <v>24</v>
      </c>
      <c r="B94" s="273" t="s">
        <v>353</v>
      </c>
      <c r="C94" s="273" t="s">
        <v>457</v>
      </c>
      <c r="D94" s="188">
        <v>6122</v>
      </c>
      <c r="E94" s="235" t="s">
        <v>582</v>
      </c>
      <c r="F94" s="253"/>
      <c r="G94" s="256">
        <v>2000000</v>
      </c>
      <c r="H94" s="256">
        <v>1328525</v>
      </c>
      <c r="I94" s="256">
        <v>2000000</v>
      </c>
      <c r="J94" s="326"/>
      <c r="K94" s="614">
        <f t="shared" si="2"/>
        <v>2000000</v>
      </c>
      <c r="L94" s="614">
        <f t="shared" si="3"/>
        <v>671475</v>
      </c>
    </row>
    <row r="95" spans="1:12" ht="30" customHeight="1">
      <c r="A95" s="241" t="s">
        <v>24</v>
      </c>
      <c r="B95" s="273" t="s">
        <v>353</v>
      </c>
      <c r="C95" s="273" t="s">
        <v>457</v>
      </c>
      <c r="D95" s="188">
        <v>6133</v>
      </c>
      <c r="E95" s="192" t="s">
        <v>9</v>
      </c>
      <c r="F95" s="226"/>
      <c r="G95" s="256">
        <v>22900000</v>
      </c>
      <c r="H95" s="256">
        <v>22900000</v>
      </c>
      <c r="I95" s="256">
        <v>22900000</v>
      </c>
      <c r="J95" s="326"/>
      <c r="K95" s="614">
        <f t="shared" si="2"/>
        <v>22900000</v>
      </c>
      <c r="L95" s="614">
        <f t="shared" si="3"/>
        <v>0</v>
      </c>
    </row>
    <row r="96" spans="1:12" ht="30" customHeight="1">
      <c r="A96" s="241" t="s">
        <v>24</v>
      </c>
      <c r="B96" s="273" t="s">
        <v>353</v>
      </c>
      <c r="C96" s="273" t="s">
        <v>457</v>
      </c>
      <c r="D96" s="188">
        <v>6171</v>
      </c>
      <c r="E96" s="192" t="s">
        <v>214</v>
      </c>
      <c r="F96" s="226"/>
      <c r="G96" s="256">
        <v>20000000</v>
      </c>
      <c r="H96" s="267">
        <v>20000000</v>
      </c>
      <c r="I96" s="267">
        <v>20000000</v>
      </c>
      <c r="J96" s="326"/>
      <c r="K96" s="614">
        <f t="shared" si="2"/>
        <v>20000000</v>
      </c>
      <c r="L96" s="614">
        <f t="shared" si="3"/>
        <v>0</v>
      </c>
    </row>
    <row r="97" spans="1:12" ht="30" customHeight="1">
      <c r="A97" s="241" t="s">
        <v>24</v>
      </c>
      <c r="B97" s="273" t="s">
        <v>353</v>
      </c>
      <c r="C97" s="273" t="s">
        <v>457</v>
      </c>
      <c r="D97" s="188">
        <v>6173</v>
      </c>
      <c r="E97" s="192" t="s">
        <v>19</v>
      </c>
      <c r="F97" s="226"/>
      <c r="G97" s="256">
        <v>162000000</v>
      </c>
      <c r="H97" s="256">
        <v>162000000</v>
      </c>
      <c r="I97" s="256">
        <v>162000000</v>
      </c>
      <c r="J97" s="326"/>
      <c r="K97" s="614">
        <f t="shared" si="2"/>
        <v>162000000</v>
      </c>
      <c r="L97" s="614">
        <f t="shared" si="3"/>
        <v>0</v>
      </c>
    </row>
    <row r="98" spans="1:12" ht="30" customHeight="1">
      <c r="A98" s="241" t="s">
        <v>24</v>
      </c>
      <c r="B98" s="273" t="s">
        <v>353</v>
      </c>
      <c r="C98" s="273" t="s">
        <v>457</v>
      </c>
      <c r="D98" s="188">
        <v>6175</v>
      </c>
      <c r="E98" s="194" t="s">
        <v>13</v>
      </c>
      <c r="F98" s="253"/>
      <c r="G98" s="256">
        <v>1000000</v>
      </c>
      <c r="H98" s="256">
        <v>1000000</v>
      </c>
      <c r="I98" s="256">
        <v>1000000</v>
      </c>
      <c r="J98" s="326"/>
      <c r="K98" s="614">
        <f t="shared" si="2"/>
        <v>1000000</v>
      </c>
      <c r="L98" s="614">
        <f t="shared" si="3"/>
        <v>0</v>
      </c>
    </row>
    <row r="99" spans="1:12" ht="30" customHeight="1">
      <c r="A99" s="241" t="s">
        <v>24</v>
      </c>
      <c r="B99" s="273" t="s">
        <v>353</v>
      </c>
      <c r="C99" s="273" t="s">
        <v>457</v>
      </c>
      <c r="D99" s="257" t="s">
        <v>20</v>
      </c>
      <c r="E99" s="226"/>
      <c r="F99" s="300">
        <f>SUBTOTAL(109,F92:F98)</f>
        <v>29</v>
      </c>
      <c r="G99" s="300">
        <f>SUBTOTAL(109,G92:G98)</f>
        <v>468267800</v>
      </c>
      <c r="H99" s="300">
        <f>SUBTOTAL(109,H92:H98)</f>
        <v>363812258.02</v>
      </c>
      <c r="I99" s="300">
        <f>SUBTOTAL(109,I92:I98)</f>
        <v>468267800</v>
      </c>
      <c r="J99" s="300"/>
      <c r="K99" s="614">
        <f t="shared" si="2"/>
        <v>468267800</v>
      </c>
      <c r="L99" s="614">
        <f t="shared" si="3"/>
        <v>104455541.98000002</v>
      </c>
    </row>
    <row r="100" spans="1:12" ht="30" customHeight="1">
      <c r="A100" s="241" t="s">
        <v>24</v>
      </c>
      <c r="B100" s="273" t="s">
        <v>354</v>
      </c>
      <c r="C100" s="273" t="s">
        <v>464</v>
      </c>
      <c r="D100" s="254" t="s">
        <v>303</v>
      </c>
      <c r="E100" s="226"/>
      <c r="F100" s="226"/>
      <c r="G100" s="256"/>
      <c r="H100" s="256"/>
      <c r="I100" s="256"/>
      <c r="J100" s="326"/>
      <c r="K100" s="614">
        <f t="shared" si="2"/>
        <v>0</v>
      </c>
      <c r="L100" s="614">
        <f t="shared" si="3"/>
        <v>0</v>
      </c>
    </row>
    <row r="101" spans="1:12" ht="30" customHeight="1">
      <c r="A101" s="241" t="s">
        <v>24</v>
      </c>
      <c r="B101" s="273" t="s">
        <v>354</v>
      </c>
      <c r="C101" s="273" t="s">
        <v>464</v>
      </c>
      <c r="D101" s="188">
        <v>6611</v>
      </c>
      <c r="E101" s="192" t="s">
        <v>6</v>
      </c>
      <c r="F101" s="226">
        <v>9</v>
      </c>
      <c r="G101" s="256">
        <v>27000000</v>
      </c>
      <c r="H101" s="256">
        <v>25275200.05</v>
      </c>
      <c r="I101" s="256">
        <v>27000000</v>
      </c>
      <c r="J101" s="326"/>
      <c r="K101" s="614">
        <f t="shared" si="2"/>
        <v>27000000</v>
      </c>
      <c r="L101" s="614">
        <f t="shared" si="3"/>
        <v>1724799.9499999993</v>
      </c>
    </row>
    <row r="102" spans="1:12" ht="30" customHeight="1">
      <c r="A102" s="241" t="s">
        <v>24</v>
      </c>
      <c r="B102" s="273" t="s">
        <v>354</v>
      </c>
      <c r="C102" s="273" t="s">
        <v>464</v>
      </c>
      <c r="D102" s="188">
        <v>60100</v>
      </c>
      <c r="E102" s="192" t="s">
        <v>7</v>
      </c>
      <c r="F102" s="226"/>
      <c r="G102" s="256">
        <v>917078</v>
      </c>
      <c r="H102" s="256">
        <v>917078</v>
      </c>
      <c r="I102" s="256">
        <v>917078</v>
      </c>
      <c r="J102" s="326"/>
      <c r="K102" s="614">
        <f t="shared" si="2"/>
        <v>917078</v>
      </c>
      <c r="L102" s="614">
        <f t="shared" si="3"/>
        <v>0</v>
      </c>
    </row>
    <row r="103" spans="1:12" ht="30" customHeight="1">
      <c r="A103" s="241" t="s">
        <v>24</v>
      </c>
      <c r="B103" s="273" t="s">
        <v>354</v>
      </c>
      <c r="C103" s="273" t="s">
        <v>464</v>
      </c>
      <c r="D103" s="188">
        <v>6041</v>
      </c>
      <c r="E103" s="192" t="s">
        <v>8</v>
      </c>
      <c r="F103" s="226"/>
      <c r="G103" s="256"/>
      <c r="H103" s="256"/>
      <c r="I103" s="256"/>
      <c r="J103" s="326"/>
      <c r="K103" s="614">
        <f t="shared" si="2"/>
        <v>0</v>
      </c>
      <c r="L103" s="614">
        <f t="shared" si="3"/>
        <v>0</v>
      </c>
    </row>
    <row r="104" spans="1:12" ht="30" customHeight="1">
      <c r="A104" s="241" t="s">
        <v>24</v>
      </c>
      <c r="B104" s="273" t="s">
        <v>354</v>
      </c>
      <c r="C104" s="273" t="s">
        <v>464</v>
      </c>
      <c r="D104" s="188">
        <v>6122</v>
      </c>
      <c r="E104" s="235" t="s">
        <v>582</v>
      </c>
      <c r="F104" s="226"/>
      <c r="G104" s="256"/>
      <c r="H104" s="256"/>
      <c r="I104" s="256"/>
      <c r="J104" s="326"/>
      <c r="K104" s="614">
        <f t="shared" si="2"/>
        <v>0</v>
      </c>
      <c r="L104" s="614">
        <f t="shared" si="3"/>
        <v>0</v>
      </c>
    </row>
    <row r="105" spans="1:12" ht="30" customHeight="1">
      <c r="A105" s="241" t="s">
        <v>24</v>
      </c>
      <c r="B105" s="273" t="s">
        <v>354</v>
      </c>
      <c r="C105" s="273" t="s">
        <v>464</v>
      </c>
      <c r="D105" s="188">
        <v>6133</v>
      </c>
      <c r="E105" s="194" t="s">
        <v>30</v>
      </c>
      <c r="F105" s="253"/>
      <c r="G105" s="256">
        <v>700000</v>
      </c>
      <c r="H105" s="256">
        <v>700000</v>
      </c>
      <c r="I105" s="256">
        <v>700000</v>
      </c>
      <c r="J105" s="326"/>
      <c r="K105" s="614">
        <f t="shared" si="2"/>
        <v>700000</v>
      </c>
      <c r="L105" s="614">
        <f t="shared" si="3"/>
        <v>0</v>
      </c>
    </row>
    <row r="106" spans="1:12" ht="30" customHeight="1">
      <c r="A106" s="241" t="s">
        <v>24</v>
      </c>
      <c r="B106" s="273" t="s">
        <v>354</v>
      </c>
      <c r="C106" s="273" t="s">
        <v>464</v>
      </c>
      <c r="D106" s="188">
        <v>6112</v>
      </c>
      <c r="E106" s="192" t="s">
        <v>236</v>
      </c>
      <c r="F106" s="226"/>
      <c r="G106" s="256"/>
      <c r="H106" s="256"/>
      <c r="I106" s="256"/>
      <c r="J106" s="326"/>
      <c r="K106" s="614">
        <f t="shared" si="2"/>
        <v>0</v>
      </c>
      <c r="L106" s="614">
        <f t="shared" si="3"/>
        <v>0</v>
      </c>
    </row>
    <row r="107" spans="1:12" ht="30" customHeight="1">
      <c r="A107" s="241" t="s">
        <v>24</v>
      </c>
      <c r="B107" s="273" t="s">
        <v>354</v>
      </c>
      <c r="C107" s="273" t="s">
        <v>464</v>
      </c>
      <c r="D107" s="188">
        <v>6173</v>
      </c>
      <c r="E107" s="194" t="s">
        <v>237</v>
      </c>
      <c r="F107" s="253"/>
      <c r="G107" s="256"/>
      <c r="H107" s="256"/>
      <c r="I107" s="256"/>
      <c r="J107" s="326"/>
      <c r="K107" s="614">
        <f t="shared" si="2"/>
        <v>0</v>
      </c>
      <c r="L107" s="614">
        <f t="shared" si="3"/>
        <v>0</v>
      </c>
    </row>
    <row r="108" spans="1:12" ht="30" customHeight="1">
      <c r="A108" s="241" t="s">
        <v>24</v>
      </c>
      <c r="B108" s="273" t="s">
        <v>354</v>
      </c>
      <c r="C108" s="273" t="s">
        <v>464</v>
      </c>
      <c r="D108" s="188">
        <v>6175</v>
      </c>
      <c r="E108" s="194" t="s">
        <v>13</v>
      </c>
      <c r="F108" s="253"/>
      <c r="G108" s="256">
        <v>500000</v>
      </c>
      <c r="H108" s="256">
        <v>500000</v>
      </c>
      <c r="I108" s="256">
        <v>500000</v>
      </c>
      <c r="J108" s="326"/>
      <c r="K108" s="614">
        <f t="shared" si="2"/>
        <v>500000</v>
      </c>
      <c r="L108" s="614">
        <f t="shared" si="3"/>
        <v>0</v>
      </c>
    </row>
    <row r="109" spans="1:12" ht="30" customHeight="1">
      <c r="A109" s="241" t="s">
        <v>24</v>
      </c>
      <c r="B109" s="273" t="s">
        <v>354</v>
      </c>
      <c r="C109" s="273" t="s">
        <v>464</v>
      </c>
      <c r="D109" s="257" t="s">
        <v>20</v>
      </c>
      <c r="E109" s="192"/>
      <c r="F109" s="300">
        <f>SUBTOTAL(109,F101:F108)</f>
        <v>9</v>
      </c>
      <c r="G109" s="300">
        <f>SUBTOTAL(109,G101:G108)</f>
        <v>29117078</v>
      </c>
      <c r="H109" s="300">
        <f>SUBTOTAL(109,H101:H108)</f>
        <v>27392278.05</v>
      </c>
      <c r="I109" s="300">
        <f>SUBTOTAL(109,I101:I108)</f>
        <v>29117078</v>
      </c>
      <c r="J109" s="300"/>
      <c r="K109" s="614">
        <f t="shared" si="2"/>
        <v>29117078</v>
      </c>
      <c r="L109" s="614">
        <f t="shared" si="3"/>
        <v>1724799.9499999993</v>
      </c>
    </row>
    <row r="110" spans="1:12" ht="30" customHeight="1">
      <c r="A110" s="241" t="s">
        <v>24</v>
      </c>
      <c r="B110" s="273" t="s">
        <v>355</v>
      </c>
      <c r="C110" s="273" t="s">
        <v>465</v>
      </c>
      <c r="D110" s="255" t="s">
        <v>31</v>
      </c>
      <c r="E110" s="226"/>
      <c r="F110" s="226"/>
      <c r="G110" s="256"/>
      <c r="H110" s="256"/>
      <c r="I110" s="300"/>
      <c r="J110" s="326"/>
      <c r="K110" s="614">
        <f t="shared" si="2"/>
        <v>0</v>
      </c>
      <c r="L110" s="614">
        <f t="shared" si="3"/>
        <v>0</v>
      </c>
    </row>
    <row r="111" spans="1:12" ht="30" customHeight="1">
      <c r="A111" s="241" t="s">
        <v>24</v>
      </c>
      <c r="B111" s="273" t="s">
        <v>355</v>
      </c>
      <c r="C111" s="273" t="s">
        <v>465</v>
      </c>
      <c r="D111" s="188">
        <v>6611</v>
      </c>
      <c r="E111" s="192" t="s">
        <v>6</v>
      </c>
      <c r="F111" s="226"/>
      <c r="G111" s="256">
        <v>6315600</v>
      </c>
      <c r="H111" s="256"/>
      <c r="I111" s="256">
        <v>6315600</v>
      </c>
      <c r="J111" s="326"/>
      <c r="K111" s="614">
        <f t="shared" si="2"/>
        <v>6315600</v>
      </c>
      <c r="L111" s="614">
        <f t="shared" si="3"/>
        <v>6315600</v>
      </c>
    </row>
    <row r="112" spans="1:12" ht="30" customHeight="1">
      <c r="A112" s="241" t="s">
        <v>24</v>
      </c>
      <c r="B112" s="273" t="s">
        <v>355</v>
      </c>
      <c r="C112" s="273" t="s">
        <v>465</v>
      </c>
      <c r="D112" s="188">
        <v>60100</v>
      </c>
      <c r="E112" s="192" t="s">
        <v>7</v>
      </c>
      <c r="F112" s="226"/>
      <c r="G112" s="256">
        <v>1000000</v>
      </c>
      <c r="H112" s="256"/>
      <c r="I112" s="256">
        <v>1000000</v>
      </c>
      <c r="J112" s="326"/>
      <c r="K112" s="614">
        <f t="shared" si="2"/>
        <v>1000000</v>
      </c>
      <c r="L112" s="614">
        <f t="shared" si="3"/>
        <v>1000000</v>
      </c>
    </row>
    <row r="113" spans="1:12" ht="30" customHeight="1">
      <c r="A113" s="241" t="s">
        <v>24</v>
      </c>
      <c r="B113" s="273" t="s">
        <v>355</v>
      </c>
      <c r="C113" s="273" t="s">
        <v>465</v>
      </c>
      <c r="D113" s="188">
        <v>60101</v>
      </c>
      <c r="E113" s="179" t="s">
        <v>297</v>
      </c>
      <c r="F113" s="226"/>
      <c r="G113" s="256">
        <v>500000</v>
      </c>
      <c r="H113" s="267"/>
      <c r="I113" s="256">
        <v>500000</v>
      </c>
      <c r="J113" s="326"/>
      <c r="K113" s="614">
        <f t="shared" si="2"/>
        <v>500000</v>
      </c>
      <c r="L113" s="614">
        <f t="shared" si="3"/>
        <v>500000</v>
      </c>
    </row>
    <row r="114" spans="1:12" ht="30" customHeight="1">
      <c r="A114" s="241" t="s">
        <v>24</v>
      </c>
      <c r="B114" s="273" t="s">
        <v>355</v>
      </c>
      <c r="C114" s="273" t="s">
        <v>465</v>
      </c>
      <c r="D114" s="188">
        <v>6122</v>
      </c>
      <c r="E114" s="235" t="s">
        <v>582</v>
      </c>
      <c r="F114" s="226"/>
      <c r="G114" s="256"/>
      <c r="H114" s="256"/>
      <c r="I114" s="256"/>
      <c r="J114" s="326"/>
      <c r="K114" s="614">
        <f t="shared" si="2"/>
        <v>0</v>
      </c>
      <c r="L114" s="614">
        <f t="shared" si="3"/>
        <v>0</v>
      </c>
    </row>
    <row r="115" spans="1:12" ht="30" customHeight="1">
      <c r="A115" s="241" t="s">
        <v>24</v>
      </c>
      <c r="B115" s="273" t="s">
        <v>355</v>
      </c>
      <c r="C115" s="273" t="s">
        <v>465</v>
      </c>
      <c r="D115" s="188">
        <v>6173</v>
      </c>
      <c r="E115" s="192" t="s">
        <v>19</v>
      </c>
      <c r="F115" s="226"/>
      <c r="G115" s="256"/>
      <c r="H115" s="256"/>
      <c r="I115" s="256"/>
      <c r="J115" s="326"/>
      <c r="K115" s="614">
        <f t="shared" si="2"/>
        <v>0</v>
      </c>
      <c r="L115" s="614">
        <f t="shared" si="3"/>
        <v>0</v>
      </c>
    </row>
    <row r="116" spans="1:12" ht="30" customHeight="1">
      <c r="A116" s="241" t="s">
        <v>24</v>
      </c>
      <c r="B116" s="273" t="s">
        <v>355</v>
      </c>
      <c r="C116" s="273" t="s">
        <v>465</v>
      </c>
      <c r="D116" s="188">
        <v>6175</v>
      </c>
      <c r="E116" s="194" t="s">
        <v>13</v>
      </c>
      <c r="F116" s="253"/>
      <c r="G116" s="256"/>
      <c r="H116" s="256"/>
      <c r="I116" s="256"/>
      <c r="J116" s="326"/>
      <c r="K116" s="614">
        <f t="shared" si="2"/>
        <v>0</v>
      </c>
      <c r="L116" s="614">
        <f t="shared" si="3"/>
        <v>0</v>
      </c>
    </row>
    <row r="117" spans="1:12" ht="30" customHeight="1">
      <c r="A117" s="241" t="s">
        <v>24</v>
      </c>
      <c r="B117" s="273" t="s">
        <v>355</v>
      </c>
      <c r="C117" s="273" t="s">
        <v>465</v>
      </c>
      <c r="D117" s="257" t="s">
        <v>20</v>
      </c>
      <c r="E117" s="226"/>
      <c r="F117" s="323">
        <f>SUBTOTAL(109,F111:F116)</f>
        <v>0</v>
      </c>
      <c r="G117" s="300">
        <f>SUBTOTAL(109,G111:G116)</f>
        <v>7815600</v>
      </c>
      <c r="H117" s="300">
        <f>SUBTOTAL(109,H111:H116)</f>
        <v>0</v>
      </c>
      <c r="I117" s="300">
        <f>SUBTOTAL(109,I111:I116)</f>
        <v>7815600</v>
      </c>
      <c r="J117" s="300"/>
      <c r="K117" s="614">
        <f t="shared" si="2"/>
        <v>7815600</v>
      </c>
      <c r="L117" s="614">
        <f t="shared" si="3"/>
        <v>7815600</v>
      </c>
    </row>
    <row r="118" spans="1:13" ht="30" customHeight="1">
      <c r="A118" s="241" t="s">
        <v>24</v>
      </c>
      <c r="B118" s="273" t="s">
        <v>356</v>
      </c>
      <c r="C118" s="273" t="s">
        <v>466</v>
      </c>
      <c r="D118" s="195" t="s">
        <v>32</v>
      </c>
      <c r="E118" s="226"/>
      <c r="F118" s="226"/>
      <c r="G118" s="256"/>
      <c r="H118" s="256"/>
      <c r="I118" s="256"/>
      <c r="J118" s="326"/>
      <c r="K118" s="614">
        <f t="shared" si="2"/>
        <v>0</v>
      </c>
      <c r="L118" s="614">
        <f t="shared" si="3"/>
        <v>0</v>
      </c>
      <c r="M118" s="577"/>
    </row>
    <row r="119" spans="1:13" ht="30" customHeight="1">
      <c r="A119" s="241" t="s">
        <v>24</v>
      </c>
      <c r="B119" s="273" t="s">
        <v>356</v>
      </c>
      <c r="C119" s="273" t="s">
        <v>466</v>
      </c>
      <c r="D119" s="188">
        <v>6611</v>
      </c>
      <c r="E119" s="192" t="s">
        <v>6</v>
      </c>
      <c r="F119" s="226">
        <v>3</v>
      </c>
      <c r="G119" s="256">
        <v>7237598</v>
      </c>
      <c r="H119" s="256"/>
      <c r="I119" s="256">
        <v>0</v>
      </c>
      <c r="J119" s="326"/>
      <c r="K119" s="614">
        <f t="shared" si="2"/>
        <v>0</v>
      </c>
      <c r="L119" s="614">
        <f t="shared" si="3"/>
        <v>0</v>
      </c>
      <c r="M119" s="577"/>
    </row>
    <row r="120" spans="1:13" ht="30" customHeight="1">
      <c r="A120" s="241" t="s">
        <v>24</v>
      </c>
      <c r="B120" s="273" t="s">
        <v>356</v>
      </c>
      <c r="C120" s="273" t="s">
        <v>466</v>
      </c>
      <c r="D120" s="188">
        <v>6682</v>
      </c>
      <c r="E120" s="192" t="s">
        <v>266</v>
      </c>
      <c r="F120" s="226"/>
      <c r="G120" s="256"/>
      <c r="H120" s="256"/>
      <c r="I120" s="256"/>
      <c r="J120" s="326"/>
      <c r="K120" s="614">
        <f t="shared" si="2"/>
        <v>0</v>
      </c>
      <c r="L120" s="614">
        <f t="shared" si="3"/>
        <v>0</v>
      </c>
      <c r="M120" s="577"/>
    </row>
    <row r="121" spans="1:12" ht="30" customHeight="1">
      <c r="A121" s="241" t="s">
        <v>24</v>
      </c>
      <c r="B121" s="273" t="s">
        <v>356</v>
      </c>
      <c r="C121" s="273" t="s">
        <v>466</v>
      </c>
      <c r="D121" s="188">
        <v>60100</v>
      </c>
      <c r="E121" s="192" t="s">
        <v>7</v>
      </c>
      <c r="F121" s="226"/>
      <c r="G121" s="256"/>
      <c r="H121" s="256"/>
      <c r="I121" s="256"/>
      <c r="J121" s="326"/>
      <c r="K121" s="614">
        <f t="shared" si="2"/>
        <v>0</v>
      </c>
      <c r="L121" s="614">
        <f t="shared" si="3"/>
        <v>0</v>
      </c>
    </row>
    <row r="122" spans="1:12" ht="30" customHeight="1">
      <c r="A122" s="241" t="s">
        <v>24</v>
      </c>
      <c r="B122" s="273" t="s">
        <v>356</v>
      </c>
      <c r="C122" s="273" t="s">
        <v>466</v>
      </c>
      <c r="D122" s="188">
        <v>60101</v>
      </c>
      <c r="E122" s="192" t="s">
        <v>255</v>
      </c>
      <c r="F122" s="226"/>
      <c r="G122" s="256"/>
      <c r="H122" s="256"/>
      <c r="I122" s="256"/>
      <c r="J122" s="326"/>
      <c r="K122" s="614">
        <f t="shared" si="2"/>
        <v>0</v>
      </c>
      <c r="L122" s="614">
        <f t="shared" si="3"/>
        <v>0</v>
      </c>
    </row>
    <row r="123" spans="1:12" ht="30" customHeight="1">
      <c r="A123" s="241" t="s">
        <v>24</v>
      </c>
      <c r="B123" s="273" t="s">
        <v>356</v>
      </c>
      <c r="C123" s="273" t="s">
        <v>466</v>
      </c>
      <c r="D123" s="188">
        <v>6122</v>
      </c>
      <c r="E123" s="235" t="s">
        <v>582</v>
      </c>
      <c r="F123" s="226"/>
      <c r="G123" s="256"/>
      <c r="H123" s="256"/>
      <c r="I123" s="256"/>
      <c r="J123" s="326"/>
      <c r="K123" s="614">
        <f t="shared" si="2"/>
        <v>0</v>
      </c>
      <c r="L123" s="614">
        <f t="shared" si="3"/>
        <v>0</v>
      </c>
    </row>
    <row r="124" spans="1:12" ht="30" customHeight="1">
      <c r="A124" s="241" t="s">
        <v>24</v>
      </c>
      <c r="B124" s="273" t="s">
        <v>356</v>
      </c>
      <c r="C124" s="273" t="s">
        <v>466</v>
      </c>
      <c r="D124" s="188">
        <v>6131</v>
      </c>
      <c r="E124" s="192" t="s">
        <v>562</v>
      </c>
      <c r="F124" s="226"/>
      <c r="G124" s="256"/>
      <c r="H124" s="256"/>
      <c r="I124" s="256"/>
      <c r="J124" s="326"/>
      <c r="K124" s="614">
        <f t="shared" si="2"/>
        <v>0</v>
      </c>
      <c r="L124" s="614">
        <f t="shared" si="3"/>
        <v>0</v>
      </c>
    </row>
    <row r="125" spans="1:12" ht="30" customHeight="1">
      <c r="A125" s="241" t="s">
        <v>24</v>
      </c>
      <c r="B125" s="273" t="s">
        <v>356</v>
      </c>
      <c r="C125" s="273" t="s">
        <v>466</v>
      </c>
      <c r="D125" s="188">
        <v>6133</v>
      </c>
      <c r="E125" s="192" t="s">
        <v>30</v>
      </c>
      <c r="F125" s="226"/>
      <c r="G125" s="256"/>
      <c r="H125" s="256"/>
      <c r="I125" s="256"/>
      <c r="J125" s="326"/>
      <c r="K125" s="614">
        <f t="shared" si="2"/>
        <v>0</v>
      </c>
      <c r="L125" s="614">
        <f t="shared" si="3"/>
        <v>0</v>
      </c>
    </row>
    <row r="126" spans="1:12" ht="30" customHeight="1">
      <c r="A126" s="241" t="s">
        <v>24</v>
      </c>
      <c r="B126" s="273" t="s">
        <v>356</v>
      </c>
      <c r="C126" s="273" t="s">
        <v>466</v>
      </c>
      <c r="D126" s="188">
        <v>6138</v>
      </c>
      <c r="E126" s="192" t="s">
        <v>177</v>
      </c>
      <c r="F126" s="226"/>
      <c r="G126" s="256"/>
      <c r="H126" s="256"/>
      <c r="I126" s="256"/>
      <c r="J126" s="326"/>
      <c r="K126" s="614">
        <f t="shared" si="2"/>
        <v>0</v>
      </c>
      <c r="L126" s="614">
        <f t="shared" si="3"/>
        <v>0</v>
      </c>
    </row>
    <row r="127" spans="1:12" ht="30" customHeight="1">
      <c r="A127" s="241" t="s">
        <v>24</v>
      </c>
      <c r="B127" s="273" t="s">
        <v>356</v>
      </c>
      <c r="C127" s="273" t="s">
        <v>466</v>
      </c>
      <c r="D127" s="188">
        <v>6141</v>
      </c>
      <c r="E127" s="192" t="s">
        <v>267</v>
      </c>
      <c r="F127" s="226"/>
      <c r="G127" s="256"/>
      <c r="H127" s="256"/>
      <c r="I127" s="256"/>
      <c r="J127" s="326"/>
      <c r="K127" s="614">
        <f t="shared" si="2"/>
        <v>0</v>
      </c>
      <c r="L127" s="614">
        <f t="shared" si="3"/>
        <v>0</v>
      </c>
    </row>
    <row r="128" spans="1:12" ht="30" customHeight="1">
      <c r="A128" s="241" t="s">
        <v>24</v>
      </c>
      <c r="B128" s="273" t="s">
        <v>356</v>
      </c>
      <c r="C128" s="273" t="s">
        <v>466</v>
      </c>
      <c r="D128" s="188">
        <v>6111</v>
      </c>
      <c r="E128" s="192" t="s">
        <v>235</v>
      </c>
      <c r="F128" s="226"/>
      <c r="G128" s="256"/>
      <c r="H128" s="256"/>
      <c r="I128" s="256"/>
      <c r="J128" s="326"/>
      <c r="K128" s="614">
        <f t="shared" si="2"/>
        <v>0</v>
      </c>
      <c r="L128" s="614">
        <f t="shared" si="3"/>
        <v>0</v>
      </c>
    </row>
    <row r="129" spans="1:12" ht="30" customHeight="1">
      <c r="A129" s="241" t="s">
        <v>24</v>
      </c>
      <c r="B129" s="273" t="s">
        <v>356</v>
      </c>
      <c r="C129" s="273" t="s">
        <v>466</v>
      </c>
      <c r="D129" s="188">
        <v>6112</v>
      </c>
      <c r="E129" s="192" t="s">
        <v>236</v>
      </c>
      <c r="F129" s="226"/>
      <c r="G129" s="256"/>
      <c r="H129" s="256"/>
      <c r="I129" s="256"/>
      <c r="J129" s="326"/>
      <c r="K129" s="614">
        <f t="shared" si="2"/>
        <v>0</v>
      </c>
      <c r="L129" s="614">
        <f t="shared" si="3"/>
        <v>0</v>
      </c>
    </row>
    <row r="130" spans="1:12" ht="30" customHeight="1">
      <c r="A130" s="241" t="s">
        <v>24</v>
      </c>
      <c r="B130" s="273" t="s">
        <v>356</v>
      </c>
      <c r="C130" s="273" t="s">
        <v>466</v>
      </c>
      <c r="D130" s="188">
        <v>6173</v>
      </c>
      <c r="E130" s="192" t="s">
        <v>19</v>
      </c>
      <c r="F130" s="226"/>
      <c r="G130" s="242">
        <v>0</v>
      </c>
      <c r="H130" s="256"/>
      <c r="I130" s="242">
        <v>0</v>
      </c>
      <c r="J130" s="326"/>
      <c r="K130" s="614">
        <f t="shared" si="2"/>
        <v>0</v>
      </c>
      <c r="L130" s="614">
        <f t="shared" si="3"/>
        <v>0</v>
      </c>
    </row>
    <row r="131" spans="1:12" ht="30" customHeight="1">
      <c r="A131" s="241" t="s">
        <v>24</v>
      </c>
      <c r="B131" s="273" t="s">
        <v>356</v>
      </c>
      <c r="C131" s="273" t="s">
        <v>466</v>
      </c>
      <c r="D131" s="188">
        <v>6175</v>
      </c>
      <c r="E131" s="192" t="s">
        <v>13</v>
      </c>
      <c r="F131" s="226"/>
      <c r="G131" s="242"/>
      <c r="H131" s="256"/>
      <c r="I131" s="242"/>
      <c r="J131" s="326"/>
      <c r="K131" s="614">
        <f t="shared" si="2"/>
        <v>0</v>
      </c>
      <c r="L131" s="614">
        <f t="shared" si="3"/>
        <v>0</v>
      </c>
    </row>
    <row r="132" spans="1:12" ht="30" customHeight="1">
      <c r="A132" s="241" t="s">
        <v>24</v>
      </c>
      <c r="B132" s="273" t="s">
        <v>356</v>
      </c>
      <c r="C132" s="273" t="s">
        <v>466</v>
      </c>
      <c r="D132" s="188">
        <v>6452</v>
      </c>
      <c r="E132" s="192" t="s">
        <v>15</v>
      </c>
      <c r="F132" s="226"/>
      <c r="G132" s="242"/>
      <c r="H132" s="256"/>
      <c r="I132" s="242"/>
      <c r="J132" s="326"/>
      <c r="K132" s="614">
        <f t="shared" si="2"/>
        <v>0</v>
      </c>
      <c r="L132" s="614">
        <f t="shared" si="3"/>
        <v>0</v>
      </c>
    </row>
    <row r="133" spans="1:12" ht="30" customHeight="1">
      <c r="A133" s="241" t="s">
        <v>24</v>
      </c>
      <c r="B133" s="273" t="s">
        <v>356</v>
      </c>
      <c r="C133" s="273" t="s">
        <v>466</v>
      </c>
      <c r="D133" s="188">
        <v>2182</v>
      </c>
      <c r="E133" s="192" t="s">
        <v>43</v>
      </c>
      <c r="F133" s="226"/>
      <c r="G133" s="242"/>
      <c r="H133" s="256"/>
      <c r="I133" s="242"/>
      <c r="J133" s="326"/>
      <c r="K133" s="614">
        <f t="shared" si="2"/>
        <v>0</v>
      </c>
      <c r="L133" s="614">
        <f t="shared" si="3"/>
        <v>0</v>
      </c>
    </row>
    <row r="134" spans="1:12" ht="30" customHeight="1">
      <c r="A134" s="241" t="s">
        <v>24</v>
      </c>
      <c r="B134" s="273" t="s">
        <v>356</v>
      </c>
      <c r="C134" s="273" t="s">
        <v>466</v>
      </c>
      <c r="D134" s="187">
        <v>2164</v>
      </c>
      <c r="E134" s="67" t="s">
        <v>583</v>
      </c>
      <c r="F134" s="192"/>
      <c r="G134" s="242"/>
      <c r="H134" s="256"/>
      <c r="I134" s="242"/>
      <c r="J134" s="326"/>
      <c r="K134" s="614">
        <f aca="true" t="shared" si="4" ref="K134:K197">I134+J134</f>
        <v>0</v>
      </c>
      <c r="L134" s="614">
        <f t="shared" si="3"/>
        <v>0</v>
      </c>
    </row>
    <row r="135" spans="1:12" ht="30" customHeight="1">
      <c r="A135" s="241" t="s">
        <v>24</v>
      </c>
      <c r="B135" s="273" t="s">
        <v>356</v>
      </c>
      <c r="C135" s="273" t="s">
        <v>466</v>
      </c>
      <c r="D135" s="188">
        <v>2171</v>
      </c>
      <c r="E135" s="192" t="s">
        <v>284</v>
      </c>
      <c r="F135" s="192"/>
      <c r="G135" s="242"/>
      <c r="H135" s="256"/>
      <c r="I135" s="242"/>
      <c r="J135" s="326"/>
      <c r="K135" s="614">
        <f t="shared" si="4"/>
        <v>0</v>
      </c>
      <c r="L135" s="614">
        <f aca="true" t="shared" si="5" ref="L135:L198">K135-H135</f>
        <v>0</v>
      </c>
    </row>
    <row r="136" spans="1:12" ht="30" customHeight="1">
      <c r="A136" s="241" t="s">
        <v>24</v>
      </c>
      <c r="B136" s="273" t="s">
        <v>356</v>
      </c>
      <c r="C136" s="273" t="s">
        <v>466</v>
      </c>
      <c r="D136" s="257" t="s">
        <v>20</v>
      </c>
      <c r="E136" s="226"/>
      <c r="F136" s="300">
        <f>SUBTOTAL(109,F119:F135)</f>
        <v>3</v>
      </c>
      <c r="G136" s="98">
        <f>SUBTOTAL(109,G119:G135)</f>
        <v>7237598</v>
      </c>
      <c r="H136" s="300">
        <f>SUBTOTAL(109,H119:H133)</f>
        <v>0</v>
      </c>
      <c r="I136" s="98">
        <f>SUBTOTAL(109,I119:I133)</f>
        <v>0</v>
      </c>
      <c r="J136" s="98"/>
      <c r="K136" s="614">
        <f t="shared" si="4"/>
        <v>0</v>
      </c>
      <c r="L136" s="614">
        <f t="shared" si="5"/>
        <v>0</v>
      </c>
    </row>
    <row r="137" spans="1:12" ht="30" customHeight="1">
      <c r="A137" s="241" t="s">
        <v>24</v>
      </c>
      <c r="B137" s="329" t="s">
        <v>357</v>
      </c>
      <c r="C137" s="243" t="s">
        <v>488</v>
      </c>
      <c r="D137" s="271" t="s">
        <v>33</v>
      </c>
      <c r="E137" s="226"/>
      <c r="F137" s="226"/>
      <c r="G137" s="98"/>
      <c r="H137" s="267"/>
      <c r="I137" s="98"/>
      <c r="J137" s="326"/>
      <c r="K137" s="614">
        <f t="shared" si="4"/>
        <v>0</v>
      </c>
      <c r="L137" s="614">
        <f t="shared" si="5"/>
        <v>0</v>
      </c>
    </row>
    <row r="138" spans="1:12" ht="30" customHeight="1">
      <c r="A138" s="241" t="s">
        <v>24</v>
      </c>
      <c r="B138" s="329" t="s">
        <v>357</v>
      </c>
      <c r="C138" s="243" t="s">
        <v>488</v>
      </c>
      <c r="D138" s="188">
        <v>6611</v>
      </c>
      <c r="E138" s="192" t="s">
        <v>6</v>
      </c>
      <c r="F138" s="226">
        <v>17</v>
      </c>
      <c r="G138" s="242">
        <v>25810800</v>
      </c>
      <c r="H138" s="242">
        <v>469333.05999999994</v>
      </c>
      <c r="I138" s="242">
        <v>25810800</v>
      </c>
      <c r="J138" s="326"/>
      <c r="K138" s="614">
        <f t="shared" si="4"/>
        <v>25810800</v>
      </c>
      <c r="L138" s="614">
        <f t="shared" si="5"/>
        <v>25341466.94</v>
      </c>
    </row>
    <row r="139" spans="1:12" ht="30" customHeight="1">
      <c r="A139" s="241" t="s">
        <v>24</v>
      </c>
      <c r="B139" s="329" t="s">
        <v>357</v>
      </c>
      <c r="C139" s="243" t="s">
        <v>467</v>
      </c>
      <c r="D139" s="188">
        <v>60100</v>
      </c>
      <c r="E139" s="192" t="s">
        <v>34</v>
      </c>
      <c r="F139" s="226"/>
      <c r="G139" s="242">
        <v>846000</v>
      </c>
      <c r="H139" s="242">
        <v>211000</v>
      </c>
      <c r="I139" s="242">
        <v>846000</v>
      </c>
      <c r="J139" s="98"/>
      <c r="K139" s="614">
        <f t="shared" si="4"/>
        <v>846000</v>
      </c>
      <c r="L139" s="614">
        <f t="shared" si="5"/>
        <v>635000</v>
      </c>
    </row>
    <row r="140" spans="1:12" ht="30" customHeight="1">
      <c r="A140" s="241" t="s">
        <v>24</v>
      </c>
      <c r="B140" s="329" t="s">
        <v>357</v>
      </c>
      <c r="C140" s="243" t="s">
        <v>467</v>
      </c>
      <c r="D140" s="188">
        <v>60101</v>
      </c>
      <c r="E140" s="192" t="s">
        <v>297</v>
      </c>
      <c r="F140" s="226"/>
      <c r="G140" s="242">
        <v>368856</v>
      </c>
      <c r="H140" s="242">
        <v>92000</v>
      </c>
      <c r="I140" s="242">
        <v>368856</v>
      </c>
      <c r="J140" s="326"/>
      <c r="K140" s="614">
        <f t="shared" si="4"/>
        <v>368856</v>
      </c>
      <c r="L140" s="614">
        <f t="shared" si="5"/>
        <v>276856</v>
      </c>
    </row>
    <row r="141" spans="1:12" ht="30" customHeight="1">
      <c r="A141" s="241" t="s">
        <v>24</v>
      </c>
      <c r="B141" s="329" t="s">
        <v>357</v>
      </c>
      <c r="C141" s="243" t="s">
        <v>467</v>
      </c>
      <c r="D141" s="188">
        <v>6122</v>
      </c>
      <c r="E141" s="235" t="s">
        <v>582</v>
      </c>
      <c r="F141" s="226"/>
      <c r="G141" s="242">
        <v>564000</v>
      </c>
      <c r="H141" s="242">
        <v>140300</v>
      </c>
      <c r="I141" s="242">
        <v>564000</v>
      </c>
      <c r="J141" s="326"/>
      <c r="K141" s="614">
        <f t="shared" si="4"/>
        <v>564000</v>
      </c>
      <c r="L141" s="614">
        <f t="shared" si="5"/>
        <v>423700</v>
      </c>
    </row>
    <row r="142" spans="1:12" ht="30" customHeight="1">
      <c r="A142" s="241" t="s">
        <v>24</v>
      </c>
      <c r="B142" s="329" t="s">
        <v>357</v>
      </c>
      <c r="C142" s="243" t="s">
        <v>467</v>
      </c>
      <c r="D142" s="188">
        <v>2121</v>
      </c>
      <c r="E142" s="194" t="s">
        <v>587</v>
      </c>
      <c r="F142" s="226"/>
      <c r="G142" s="242"/>
      <c r="H142" s="267"/>
      <c r="I142" s="242"/>
      <c r="J142" s="98"/>
      <c r="K142" s="614">
        <f t="shared" si="4"/>
        <v>0</v>
      </c>
      <c r="L142" s="614">
        <f t="shared" si="5"/>
        <v>0</v>
      </c>
    </row>
    <row r="143" spans="1:12" ht="30" customHeight="1">
      <c r="A143" s="241" t="s">
        <v>24</v>
      </c>
      <c r="B143" s="329" t="s">
        <v>357</v>
      </c>
      <c r="C143" s="257" t="s">
        <v>20</v>
      </c>
      <c r="D143" s="592"/>
      <c r="E143" s="593"/>
      <c r="F143" s="594"/>
      <c r="G143" s="98">
        <f>SUM(G138:G141)</f>
        <v>27589656</v>
      </c>
      <c r="H143" s="98">
        <f>SUM(H138:H141)</f>
        <v>912633.0599999999</v>
      </c>
      <c r="I143" s="98">
        <f>SUM(I138:I141)</f>
        <v>27589656</v>
      </c>
      <c r="J143" s="326"/>
      <c r="K143" s="614">
        <f t="shared" si="4"/>
        <v>27589656</v>
      </c>
      <c r="L143" s="614">
        <f t="shared" si="5"/>
        <v>26677022.94</v>
      </c>
    </row>
    <row r="144" spans="1:12" ht="30" customHeight="1">
      <c r="A144" s="241" t="s">
        <v>24</v>
      </c>
      <c r="B144" s="273" t="s">
        <v>358</v>
      </c>
      <c r="C144" s="273" t="s">
        <v>457</v>
      </c>
      <c r="D144" s="254" t="s">
        <v>35</v>
      </c>
      <c r="E144" s="226"/>
      <c r="F144" s="226"/>
      <c r="G144" s="242"/>
      <c r="H144" s="256"/>
      <c r="I144" s="242"/>
      <c r="J144" s="326"/>
      <c r="K144" s="614">
        <f t="shared" si="4"/>
        <v>0</v>
      </c>
      <c r="L144" s="614">
        <f t="shared" si="5"/>
        <v>0</v>
      </c>
    </row>
    <row r="145" spans="1:12" ht="30" customHeight="1">
      <c r="A145" s="241" t="s">
        <v>24</v>
      </c>
      <c r="B145" s="273" t="s">
        <v>358</v>
      </c>
      <c r="C145" s="273" t="s">
        <v>457</v>
      </c>
      <c r="D145" s="188">
        <v>6173</v>
      </c>
      <c r="E145" s="192" t="s">
        <v>19</v>
      </c>
      <c r="F145" s="226"/>
      <c r="G145" s="242">
        <v>2600000</v>
      </c>
      <c r="H145" s="256">
        <v>2600000</v>
      </c>
      <c r="I145" s="242">
        <f>2600000</f>
        <v>2600000</v>
      </c>
      <c r="J145" s="326"/>
      <c r="K145" s="614">
        <f t="shared" si="4"/>
        <v>2600000</v>
      </c>
      <c r="L145" s="614">
        <f t="shared" si="5"/>
        <v>0</v>
      </c>
    </row>
    <row r="146" spans="1:12" ht="30" customHeight="1">
      <c r="A146" s="241" t="s">
        <v>24</v>
      </c>
      <c r="B146" s="273" t="s">
        <v>358</v>
      </c>
      <c r="C146" s="273" t="s">
        <v>457</v>
      </c>
      <c r="D146" s="257" t="s">
        <v>20</v>
      </c>
      <c r="E146" s="226"/>
      <c r="F146" s="226"/>
      <c r="G146" s="98">
        <f>SUBTOTAL(109,G145:G145)</f>
        <v>2600000</v>
      </c>
      <c r="H146" s="300">
        <f>SUBTOTAL(109,H145:H145)</f>
        <v>2600000</v>
      </c>
      <c r="I146" s="98">
        <f>SUBTOTAL(109,I145:I145)</f>
        <v>2600000</v>
      </c>
      <c r="J146" s="326"/>
      <c r="K146" s="614">
        <f t="shared" si="4"/>
        <v>2600000</v>
      </c>
      <c r="L146" s="614">
        <f t="shared" si="5"/>
        <v>0</v>
      </c>
    </row>
    <row r="147" spans="1:12" ht="30" customHeight="1">
      <c r="A147" s="241" t="s">
        <v>24</v>
      </c>
      <c r="B147" s="273" t="s">
        <v>359</v>
      </c>
      <c r="C147" s="273" t="s">
        <v>457</v>
      </c>
      <c r="D147" s="254" t="s">
        <v>36</v>
      </c>
      <c r="E147" s="226"/>
      <c r="F147" s="226"/>
      <c r="G147" s="242"/>
      <c r="H147" s="256"/>
      <c r="I147" s="242"/>
      <c r="J147" s="326"/>
      <c r="K147" s="614">
        <f t="shared" si="4"/>
        <v>0</v>
      </c>
      <c r="L147" s="614">
        <f t="shared" si="5"/>
        <v>0</v>
      </c>
    </row>
    <row r="148" spans="1:12" ht="30" customHeight="1">
      <c r="A148" s="241" t="s">
        <v>24</v>
      </c>
      <c r="B148" s="273" t="s">
        <v>359</v>
      </c>
      <c r="C148" s="273" t="s">
        <v>457</v>
      </c>
      <c r="D148" s="188">
        <v>6173</v>
      </c>
      <c r="E148" s="192" t="s">
        <v>19</v>
      </c>
      <c r="F148" s="226"/>
      <c r="G148" s="242">
        <v>2000000</v>
      </c>
      <c r="H148" s="256">
        <v>2000000</v>
      </c>
      <c r="I148" s="242">
        <f>2000000</f>
        <v>2000000</v>
      </c>
      <c r="J148" s="300"/>
      <c r="K148" s="614">
        <f t="shared" si="4"/>
        <v>2000000</v>
      </c>
      <c r="L148" s="614">
        <f t="shared" si="5"/>
        <v>0</v>
      </c>
    </row>
    <row r="149" spans="1:12" ht="30" customHeight="1">
      <c r="A149" s="241" t="s">
        <v>24</v>
      </c>
      <c r="B149" s="273" t="s">
        <v>359</v>
      </c>
      <c r="C149" s="273" t="s">
        <v>457</v>
      </c>
      <c r="D149" s="257" t="s">
        <v>20</v>
      </c>
      <c r="E149" s="226"/>
      <c r="F149" s="226"/>
      <c r="G149" s="300">
        <f>SUBTOTAL(109,G148:G148)</f>
        <v>2000000</v>
      </c>
      <c r="H149" s="300">
        <f>SUBTOTAL(109,H148:H148)</f>
        <v>2000000</v>
      </c>
      <c r="I149" s="98">
        <f>SUBTOTAL(109,I148:I148)</f>
        <v>2000000</v>
      </c>
      <c r="J149" s="326"/>
      <c r="K149" s="614">
        <f t="shared" si="4"/>
        <v>2000000</v>
      </c>
      <c r="L149" s="614">
        <f t="shared" si="5"/>
        <v>0</v>
      </c>
    </row>
    <row r="150" spans="1:12" ht="30" customHeight="1">
      <c r="A150" s="241" t="s">
        <v>24</v>
      </c>
      <c r="B150" s="273" t="s">
        <v>360</v>
      </c>
      <c r="C150" s="273" t="s">
        <v>466</v>
      </c>
      <c r="D150" s="257" t="s">
        <v>37</v>
      </c>
      <c r="E150" s="226"/>
      <c r="F150" s="226"/>
      <c r="G150" s="256"/>
      <c r="H150" s="256"/>
      <c r="I150" s="256"/>
      <c r="J150" s="326"/>
      <c r="K150" s="614">
        <f t="shared" si="4"/>
        <v>0</v>
      </c>
      <c r="L150" s="614">
        <f t="shared" si="5"/>
        <v>0</v>
      </c>
    </row>
    <row r="151" spans="1:12" ht="30" customHeight="1">
      <c r="A151" s="241" t="s">
        <v>24</v>
      </c>
      <c r="B151" s="273" t="s">
        <v>360</v>
      </c>
      <c r="C151" s="273" t="s">
        <v>466</v>
      </c>
      <c r="D151" s="188">
        <v>6611</v>
      </c>
      <c r="E151" s="192" t="s">
        <v>6</v>
      </c>
      <c r="F151" s="226"/>
      <c r="G151" s="256">
        <v>45789204</v>
      </c>
      <c r="H151" s="256">
        <v>40311767.5</v>
      </c>
      <c r="I151" s="256">
        <v>45789204</v>
      </c>
      <c r="J151" s="326"/>
      <c r="K151" s="614">
        <f t="shared" si="4"/>
        <v>45789204</v>
      </c>
      <c r="L151" s="614">
        <f t="shared" si="5"/>
        <v>5477436.5</v>
      </c>
    </row>
    <row r="152" spans="1:12" ht="30" customHeight="1">
      <c r="A152" s="241" t="s">
        <v>24</v>
      </c>
      <c r="B152" s="273" t="s">
        <v>360</v>
      </c>
      <c r="C152" s="273" t="s">
        <v>466</v>
      </c>
      <c r="D152" s="188">
        <v>60100</v>
      </c>
      <c r="E152" s="192" t="s">
        <v>47</v>
      </c>
      <c r="F152" s="226"/>
      <c r="G152" s="256"/>
      <c r="H152" s="256"/>
      <c r="I152" s="256"/>
      <c r="J152" s="326"/>
      <c r="K152" s="614">
        <f t="shared" si="4"/>
        <v>0</v>
      </c>
      <c r="L152" s="614">
        <f t="shared" si="5"/>
        <v>0</v>
      </c>
    </row>
    <row r="153" spans="1:12" ht="30" customHeight="1">
      <c r="A153" s="241" t="s">
        <v>24</v>
      </c>
      <c r="B153" s="273" t="s">
        <v>360</v>
      </c>
      <c r="C153" s="273" t="s">
        <v>466</v>
      </c>
      <c r="D153" s="188">
        <v>6041</v>
      </c>
      <c r="E153" s="192" t="s">
        <v>8</v>
      </c>
      <c r="F153" s="226"/>
      <c r="G153" s="256"/>
      <c r="H153" s="256"/>
      <c r="I153" s="256"/>
      <c r="J153" s="300"/>
      <c r="K153" s="614">
        <f t="shared" si="4"/>
        <v>0</v>
      </c>
      <c r="L153" s="614">
        <f t="shared" si="5"/>
        <v>0</v>
      </c>
    </row>
    <row r="154" spans="1:12" ht="30" customHeight="1">
      <c r="A154" s="241" t="s">
        <v>24</v>
      </c>
      <c r="B154" s="273" t="s">
        <v>360</v>
      </c>
      <c r="C154" s="273" t="s">
        <v>466</v>
      </c>
      <c r="D154" s="188">
        <v>6173</v>
      </c>
      <c r="E154" s="192" t="s">
        <v>19</v>
      </c>
      <c r="F154" s="226"/>
      <c r="G154" s="242">
        <v>1060000</v>
      </c>
      <c r="H154" s="242">
        <v>530000</v>
      </c>
      <c r="I154" s="242">
        <f>1060000</f>
        <v>1060000</v>
      </c>
      <c r="J154" s="326"/>
      <c r="K154" s="614">
        <f t="shared" si="4"/>
        <v>1060000</v>
      </c>
      <c r="L154" s="614">
        <f t="shared" si="5"/>
        <v>530000</v>
      </c>
    </row>
    <row r="155" spans="1:12" ht="30" customHeight="1">
      <c r="A155" s="241" t="s">
        <v>24</v>
      </c>
      <c r="B155" s="273" t="s">
        <v>360</v>
      </c>
      <c r="C155" s="273" t="s">
        <v>466</v>
      </c>
      <c r="D155" s="257" t="s">
        <v>20</v>
      </c>
      <c r="E155" s="226"/>
      <c r="F155" s="226"/>
      <c r="G155" s="300">
        <f>SUBTOTAL(109,G151:G154)</f>
        <v>46849204</v>
      </c>
      <c r="H155" s="300">
        <f>SUBTOTAL(109,H151:H154)</f>
        <v>40841767.5</v>
      </c>
      <c r="I155" s="300">
        <f>SUBTOTAL(109,I151:I154)</f>
        <v>46849204</v>
      </c>
      <c r="J155" s="326"/>
      <c r="K155" s="614">
        <f t="shared" si="4"/>
        <v>46849204</v>
      </c>
      <c r="L155" s="614">
        <f t="shared" si="5"/>
        <v>6007436.5</v>
      </c>
    </row>
    <row r="156" spans="1:12" ht="30" customHeight="1">
      <c r="A156" s="241" t="s">
        <v>24</v>
      </c>
      <c r="B156" s="273" t="s">
        <v>361</v>
      </c>
      <c r="C156" s="273" t="s">
        <v>468</v>
      </c>
      <c r="D156" s="254" t="s">
        <v>38</v>
      </c>
      <c r="E156" s="226"/>
      <c r="F156" s="226"/>
      <c r="G156" s="256"/>
      <c r="H156" s="256"/>
      <c r="I156" s="256"/>
      <c r="J156" s="326"/>
      <c r="K156" s="614">
        <f t="shared" si="4"/>
        <v>0</v>
      </c>
      <c r="L156" s="614">
        <f t="shared" si="5"/>
        <v>0</v>
      </c>
    </row>
    <row r="157" spans="1:12" ht="30" customHeight="1">
      <c r="A157" s="241" t="s">
        <v>24</v>
      </c>
      <c r="B157" s="273" t="s">
        <v>361</v>
      </c>
      <c r="C157" s="273" t="s">
        <v>468</v>
      </c>
      <c r="D157" s="188">
        <v>6611</v>
      </c>
      <c r="E157" s="226" t="s">
        <v>6</v>
      </c>
      <c r="F157" s="226">
        <v>11</v>
      </c>
      <c r="G157" s="256">
        <v>20074000</v>
      </c>
      <c r="H157" s="267"/>
      <c r="I157" s="256">
        <v>20074000</v>
      </c>
      <c r="J157" s="326"/>
      <c r="K157" s="614">
        <f t="shared" si="4"/>
        <v>20074000</v>
      </c>
      <c r="L157" s="614">
        <f t="shared" si="5"/>
        <v>20074000</v>
      </c>
    </row>
    <row r="158" spans="1:12" ht="30" customHeight="1">
      <c r="A158" s="241" t="s">
        <v>24</v>
      </c>
      <c r="B158" s="273" t="s">
        <v>361</v>
      </c>
      <c r="C158" s="273" t="s">
        <v>468</v>
      </c>
      <c r="D158" s="188">
        <v>60100</v>
      </c>
      <c r="E158" s="192" t="s">
        <v>7</v>
      </c>
      <c r="F158" s="226"/>
      <c r="G158" s="256">
        <v>1000000</v>
      </c>
      <c r="H158" s="256">
        <v>999250</v>
      </c>
      <c r="I158" s="256">
        <v>1000000</v>
      </c>
      <c r="J158" s="578"/>
      <c r="K158" s="614">
        <f t="shared" si="4"/>
        <v>1000000</v>
      </c>
      <c r="L158" s="614">
        <f t="shared" si="5"/>
        <v>750</v>
      </c>
    </row>
    <row r="159" spans="1:12" ht="30" customHeight="1">
      <c r="A159" s="241" t="s">
        <v>24</v>
      </c>
      <c r="B159" s="273" t="s">
        <v>361</v>
      </c>
      <c r="C159" s="273" t="s">
        <v>468</v>
      </c>
      <c r="D159" s="188">
        <v>6122</v>
      </c>
      <c r="E159" s="235" t="s">
        <v>582</v>
      </c>
      <c r="F159" s="253"/>
      <c r="G159" s="256">
        <v>800000</v>
      </c>
      <c r="H159" s="256">
        <v>683250</v>
      </c>
      <c r="I159" s="256">
        <v>800000</v>
      </c>
      <c r="J159" s="578"/>
      <c r="K159" s="614">
        <f t="shared" si="4"/>
        <v>800000</v>
      </c>
      <c r="L159" s="614">
        <f t="shared" si="5"/>
        <v>116750</v>
      </c>
    </row>
    <row r="160" spans="1:12" ht="30" customHeight="1">
      <c r="A160" s="241" t="s">
        <v>24</v>
      </c>
      <c r="B160" s="273" t="s">
        <v>361</v>
      </c>
      <c r="C160" s="273" t="s">
        <v>468</v>
      </c>
      <c r="D160" s="257" t="s">
        <v>20</v>
      </c>
      <c r="E160" s="226"/>
      <c r="F160" s="226"/>
      <c r="G160" s="300">
        <f>SUBTOTAL(109,G157:G159)</f>
        <v>21874000</v>
      </c>
      <c r="H160" s="300">
        <f>SUBTOTAL(109,H158:H159)</f>
        <v>1682500</v>
      </c>
      <c r="I160" s="300">
        <f>SUBTOTAL(109,I157:I159)</f>
        <v>21874000</v>
      </c>
      <c r="J160" s="578"/>
      <c r="K160" s="614">
        <f t="shared" si="4"/>
        <v>21874000</v>
      </c>
      <c r="L160" s="614">
        <f t="shared" si="5"/>
        <v>20191500</v>
      </c>
    </row>
    <row r="161" spans="1:12" ht="30" customHeight="1">
      <c r="A161" s="241" t="s">
        <v>24</v>
      </c>
      <c r="B161" s="273" t="s">
        <v>362</v>
      </c>
      <c r="C161" s="273" t="s">
        <v>469</v>
      </c>
      <c r="D161" s="255" t="s">
        <v>39</v>
      </c>
      <c r="E161" s="226"/>
      <c r="F161" s="226"/>
      <c r="G161" s="256"/>
      <c r="H161" s="256"/>
      <c r="I161" s="256"/>
      <c r="J161" s="315"/>
      <c r="K161" s="614">
        <f t="shared" si="4"/>
        <v>0</v>
      </c>
      <c r="L161" s="614">
        <f t="shared" si="5"/>
        <v>0</v>
      </c>
    </row>
    <row r="162" spans="1:12" ht="30" customHeight="1">
      <c r="A162" s="241" t="s">
        <v>24</v>
      </c>
      <c r="B162" s="273" t="s">
        <v>362</v>
      </c>
      <c r="C162" s="273" t="s">
        <v>469</v>
      </c>
      <c r="D162" s="188">
        <v>6611</v>
      </c>
      <c r="E162" s="192" t="s">
        <v>6</v>
      </c>
      <c r="F162" s="226">
        <v>2359</v>
      </c>
      <c r="G162" s="256">
        <v>3853203561.2209997</v>
      </c>
      <c r="H162" s="256">
        <f>3558890925+321599217</f>
        <v>3880490142</v>
      </c>
      <c r="I162" s="256">
        <v>3853203561.2209997</v>
      </c>
      <c r="J162" s="315">
        <v>55000000</v>
      </c>
      <c r="K162" s="614">
        <f t="shared" si="4"/>
        <v>3908203561.2209997</v>
      </c>
      <c r="L162" s="614">
        <f t="shared" si="5"/>
        <v>27713419.220999718</v>
      </c>
    </row>
    <row r="163" spans="1:12" ht="30" customHeight="1">
      <c r="A163" s="241" t="s">
        <v>24</v>
      </c>
      <c r="B163" s="273" t="s">
        <v>362</v>
      </c>
      <c r="C163" s="273" t="s">
        <v>469</v>
      </c>
      <c r="D163" s="188">
        <v>6173</v>
      </c>
      <c r="E163" s="192" t="s">
        <v>19</v>
      </c>
      <c r="F163" s="226"/>
      <c r="G163" s="256"/>
      <c r="H163" s="256"/>
      <c r="I163" s="256"/>
      <c r="J163" s="315"/>
      <c r="K163" s="614">
        <f t="shared" si="4"/>
        <v>0</v>
      </c>
      <c r="L163" s="614">
        <f t="shared" si="5"/>
        <v>0</v>
      </c>
    </row>
    <row r="164" spans="1:12" ht="30" customHeight="1">
      <c r="A164" s="241" t="s">
        <v>24</v>
      </c>
      <c r="B164" s="273" t="s">
        <v>362</v>
      </c>
      <c r="C164" s="273" t="s">
        <v>469</v>
      </c>
      <c r="D164" s="188">
        <v>6174</v>
      </c>
      <c r="E164" s="194" t="s">
        <v>40</v>
      </c>
      <c r="F164" s="253"/>
      <c r="G164" s="256">
        <v>1081533486</v>
      </c>
      <c r="H164" s="256">
        <v>1081533487</v>
      </c>
      <c r="I164" s="256">
        <v>1081533486</v>
      </c>
      <c r="J164" s="300"/>
      <c r="K164" s="614">
        <f t="shared" si="4"/>
        <v>1081533486</v>
      </c>
      <c r="L164" s="614">
        <f t="shared" si="5"/>
        <v>-1</v>
      </c>
    </row>
    <row r="165" spans="1:12" s="334" customFormat="1" ht="30" customHeight="1">
      <c r="A165" s="241" t="s">
        <v>24</v>
      </c>
      <c r="B165" s="273" t="s">
        <v>362</v>
      </c>
      <c r="C165" s="273" t="s">
        <v>469</v>
      </c>
      <c r="D165" s="188">
        <v>6432</v>
      </c>
      <c r="E165" s="194" t="s">
        <v>41</v>
      </c>
      <c r="F165" s="253"/>
      <c r="G165" s="256">
        <v>73380217</v>
      </c>
      <c r="H165" s="256">
        <v>73380216</v>
      </c>
      <c r="I165" s="256">
        <v>73380217</v>
      </c>
      <c r="J165" s="326"/>
      <c r="K165" s="614">
        <f t="shared" si="4"/>
        <v>73380217</v>
      </c>
      <c r="L165" s="614">
        <f t="shared" si="5"/>
        <v>1</v>
      </c>
    </row>
    <row r="166" spans="1:12" s="334" customFormat="1" ht="30" customHeight="1">
      <c r="A166" s="241" t="s">
        <v>24</v>
      </c>
      <c r="B166" s="273" t="s">
        <v>362</v>
      </c>
      <c r="C166" s="273" t="s">
        <v>469</v>
      </c>
      <c r="D166" s="188">
        <v>6433</v>
      </c>
      <c r="E166" s="258" t="s">
        <v>42</v>
      </c>
      <c r="F166" s="259"/>
      <c r="G166" s="256">
        <v>11721022</v>
      </c>
      <c r="H166" s="256">
        <v>11721022</v>
      </c>
      <c r="I166" s="256">
        <v>11721022</v>
      </c>
      <c r="J166" s="326"/>
      <c r="K166" s="614">
        <f t="shared" si="4"/>
        <v>11721022</v>
      </c>
      <c r="L166" s="614">
        <f t="shared" si="5"/>
        <v>0</v>
      </c>
    </row>
    <row r="167" spans="1:12" s="334" customFormat="1" ht="30" customHeight="1">
      <c r="A167" s="241" t="s">
        <v>24</v>
      </c>
      <c r="B167" s="273" t="s">
        <v>362</v>
      </c>
      <c r="C167" s="273" t="s">
        <v>469</v>
      </c>
      <c r="D167" s="188">
        <v>6452</v>
      </c>
      <c r="E167" s="258" t="s">
        <v>15</v>
      </c>
      <c r="F167" s="259"/>
      <c r="G167" s="256"/>
      <c r="H167" s="267"/>
      <c r="I167" s="256"/>
      <c r="J167" s="326"/>
      <c r="K167" s="614">
        <f t="shared" si="4"/>
        <v>0</v>
      </c>
      <c r="L167" s="614">
        <f t="shared" si="5"/>
        <v>0</v>
      </c>
    </row>
    <row r="168" spans="1:12" s="334" customFormat="1" ht="30" customHeight="1">
      <c r="A168" s="241" t="s">
        <v>24</v>
      </c>
      <c r="B168" s="273" t="s">
        <v>362</v>
      </c>
      <c r="C168" s="273" t="s">
        <v>469</v>
      </c>
      <c r="D168" s="188">
        <v>2182</v>
      </c>
      <c r="E168" s="226" t="s">
        <v>43</v>
      </c>
      <c r="F168" s="226"/>
      <c r="G168" s="256"/>
      <c r="H168" s="267"/>
      <c r="I168" s="256"/>
      <c r="J168" s="326"/>
      <c r="K168" s="614">
        <f t="shared" si="4"/>
        <v>0</v>
      </c>
      <c r="L168" s="614">
        <f t="shared" si="5"/>
        <v>0</v>
      </c>
    </row>
    <row r="169" spans="1:12" s="334" customFormat="1" ht="30" customHeight="1">
      <c r="A169" s="241" t="s">
        <v>24</v>
      </c>
      <c r="B169" s="273" t="s">
        <v>362</v>
      </c>
      <c r="C169" s="273" t="s">
        <v>469</v>
      </c>
      <c r="D169" s="188">
        <v>2164</v>
      </c>
      <c r="E169" s="226" t="s">
        <v>602</v>
      </c>
      <c r="F169" s="226"/>
      <c r="G169" s="256"/>
      <c r="H169" s="267"/>
      <c r="I169" s="256"/>
      <c r="J169" s="326"/>
      <c r="K169" s="614">
        <f t="shared" si="4"/>
        <v>0</v>
      </c>
      <c r="L169" s="614">
        <f t="shared" si="5"/>
        <v>0</v>
      </c>
    </row>
    <row r="170" spans="1:12" s="334" customFormat="1" ht="30" customHeight="1">
      <c r="A170" s="241" t="s">
        <v>24</v>
      </c>
      <c r="B170" s="273" t="s">
        <v>362</v>
      </c>
      <c r="C170" s="273" t="s">
        <v>469</v>
      </c>
      <c r="D170" s="188">
        <v>2162</v>
      </c>
      <c r="E170" s="226" t="s">
        <v>603</v>
      </c>
      <c r="F170" s="226"/>
      <c r="G170" s="256"/>
      <c r="H170" s="267"/>
      <c r="I170" s="256"/>
      <c r="J170" s="326"/>
      <c r="K170" s="614">
        <f t="shared" si="4"/>
        <v>0</v>
      </c>
      <c r="L170" s="614">
        <f t="shared" si="5"/>
        <v>0</v>
      </c>
    </row>
    <row r="171" spans="1:12" s="334" customFormat="1" ht="30" customHeight="1">
      <c r="A171" s="241" t="s">
        <v>24</v>
      </c>
      <c r="B171" s="273" t="s">
        <v>362</v>
      </c>
      <c r="C171" s="273" t="s">
        <v>469</v>
      </c>
      <c r="D171" s="257" t="s">
        <v>20</v>
      </c>
      <c r="E171" s="226"/>
      <c r="F171" s="300">
        <f>SUBTOTAL(109,F162:F167)</f>
        <v>2359</v>
      </c>
      <c r="G171" s="300">
        <f>SUBTOTAL(109,G162:G167)</f>
        <v>5019838286.221</v>
      </c>
      <c r="H171" s="300">
        <f>SUBTOTAL(109,H162:H167)</f>
        <v>5047124867</v>
      </c>
      <c r="I171" s="300">
        <f>SUBTOTAL(109,I162:I167)</f>
        <v>5019838286.221</v>
      </c>
      <c r="J171" s="326"/>
      <c r="K171" s="614">
        <f t="shared" si="4"/>
        <v>5019838286.221</v>
      </c>
      <c r="L171" s="614">
        <f t="shared" si="5"/>
        <v>-27286580.779000282</v>
      </c>
    </row>
    <row r="172" spans="1:12" s="334" customFormat="1" ht="30" customHeight="1">
      <c r="A172" s="241" t="s">
        <v>24</v>
      </c>
      <c r="B172" s="273" t="s">
        <v>363</v>
      </c>
      <c r="C172" s="273" t="s">
        <v>468</v>
      </c>
      <c r="D172" s="255" t="s">
        <v>232</v>
      </c>
      <c r="E172" s="227"/>
      <c r="F172" s="226"/>
      <c r="G172" s="256"/>
      <c r="H172" s="256"/>
      <c r="I172" s="256"/>
      <c r="J172" s="326"/>
      <c r="K172" s="614">
        <f t="shared" si="4"/>
        <v>0</v>
      </c>
      <c r="L172" s="614">
        <f t="shared" si="5"/>
        <v>0</v>
      </c>
    </row>
    <row r="173" spans="1:12" s="334" customFormat="1" ht="30" customHeight="1">
      <c r="A173" s="241" t="s">
        <v>24</v>
      </c>
      <c r="B173" s="273" t="s">
        <v>363</v>
      </c>
      <c r="C173" s="273" t="s">
        <v>468</v>
      </c>
      <c r="D173" s="188">
        <v>6611</v>
      </c>
      <c r="E173" s="192" t="s">
        <v>6</v>
      </c>
      <c r="F173" s="226"/>
      <c r="G173" s="256"/>
      <c r="H173" s="256"/>
      <c r="I173" s="256"/>
      <c r="J173" s="326"/>
      <c r="K173" s="614">
        <f t="shared" si="4"/>
        <v>0</v>
      </c>
      <c r="L173" s="614">
        <f t="shared" si="5"/>
        <v>0</v>
      </c>
    </row>
    <row r="174" spans="1:12" s="334" customFormat="1" ht="30" customHeight="1">
      <c r="A174" s="241" t="s">
        <v>24</v>
      </c>
      <c r="B174" s="273" t="s">
        <v>363</v>
      </c>
      <c r="C174" s="273" t="s">
        <v>468</v>
      </c>
      <c r="D174" s="188">
        <v>6682</v>
      </c>
      <c r="E174" s="192" t="s">
        <v>262</v>
      </c>
      <c r="F174" s="226"/>
      <c r="G174" s="256"/>
      <c r="H174" s="256"/>
      <c r="I174" s="256"/>
      <c r="J174" s="326"/>
      <c r="K174" s="614">
        <f t="shared" si="4"/>
        <v>0</v>
      </c>
      <c r="L174" s="614">
        <f t="shared" si="5"/>
        <v>0</v>
      </c>
    </row>
    <row r="175" spans="1:12" s="334" customFormat="1" ht="30" customHeight="1">
      <c r="A175" s="241" t="s">
        <v>24</v>
      </c>
      <c r="B175" s="273" t="s">
        <v>363</v>
      </c>
      <c r="C175" s="273" t="s">
        <v>468</v>
      </c>
      <c r="D175" s="188">
        <v>60100</v>
      </c>
      <c r="E175" s="192" t="s">
        <v>47</v>
      </c>
      <c r="F175" s="226"/>
      <c r="G175" s="256">
        <v>5000000</v>
      </c>
      <c r="H175" s="256">
        <v>1250000</v>
      </c>
      <c r="I175" s="256">
        <v>5000000</v>
      </c>
      <c r="J175" s="326"/>
      <c r="K175" s="614">
        <f t="shared" si="4"/>
        <v>5000000</v>
      </c>
      <c r="L175" s="614">
        <f t="shared" si="5"/>
        <v>3750000</v>
      </c>
    </row>
    <row r="176" spans="1:12" s="334" customFormat="1" ht="30" customHeight="1">
      <c r="A176" s="241" t="s">
        <v>24</v>
      </c>
      <c r="B176" s="273" t="s">
        <v>363</v>
      </c>
      <c r="C176" s="273" t="s">
        <v>468</v>
      </c>
      <c r="D176" s="188">
        <v>60101</v>
      </c>
      <c r="E176" s="192" t="s">
        <v>255</v>
      </c>
      <c r="F176" s="226"/>
      <c r="G176" s="256">
        <v>5000000</v>
      </c>
      <c r="H176" s="256">
        <v>1250000</v>
      </c>
      <c r="I176" s="256">
        <v>5000000</v>
      </c>
      <c r="J176" s="326"/>
      <c r="K176" s="614">
        <f t="shared" si="4"/>
        <v>5000000</v>
      </c>
      <c r="L176" s="614">
        <f t="shared" si="5"/>
        <v>3750000</v>
      </c>
    </row>
    <row r="177" spans="1:12" s="334" customFormat="1" ht="30" customHeight="1">
      <c r="A177" s="241" t="s">
        <v>24</v>
      </c>
      <c r="B177" s="273" t="s">
        <v>363</v>
      </c>
      <c r="C177" s="273" t="s">
        <v>468</v>
      </c>
      <c r="D177" s="188">
        <v>6041</v>
      </c>
      <c r="E177" s="192" t="s">
        <v>8</v>
      </c>
      <c r="F177" s="226"/>
      <c r="G177" s="256"/>
      <c r="H177" s="256"/>
      <c r="I177" s="256"/>
      <c r="J177" s="326"/>
      <c r="K177" s="614">
        <f t="shared" si="4"/>
        <v>0</v>
      </c>
      <c r="L177" s="614">
        <f t="shared" si="5"/>
        <v>0</v>
      </c>
    </row>
    <row r="178" spans="1:12" s="334" customFormat="1" ht="30" customHeight="1">
      <c r="A178" s="241" t="s">
        <v>24</v>
      </c>
      <c r="B178" s="273" t="s">
        <v>363</v>
      </c>
      <c r="C178" s="273" t="s">
        <v>468</v>
      </c>
      <c r="D178" s="188">
        <v>6018</v>
      </c>
      <c r="E178" s="192" t="s">
        <v>215</v>
      </c>
      <c r="F178" s="226"/>
      <c r="G178" s="256"/>
      <c r="H178" s="256"/>
      <c r="I178" s="256"/>
      <c r="J178" s="326"/>
      <c r="K178" s="614">
        <f t="shared" si="4"/>
        <v>0</v>
      </c>
      <c r="L178" s="614">
        <f t="shared" si="5"/>
        <v>0</v>
      </c>
    </row>
    <row r="179" spans="1:12" s="334" customFormat="1" ht="30" customHeight="1">
      <c r="A179" s="241" t="s">
        <v>24</v>
      </c>
      <c r="B179" s="273" t="s">
        <v>363</v>
      </c>
      <c r="C179" s="273" t="s">
        <v>468</v>
      </c>
      <c r="D179" s="188">
        <v>6122</v>
      </c>
      <c r="E179" s="235" t="s">
        <v>582</v>
      </c>
      <c r="F179" s="226"/>
      <c r="G179" s="256">
        <v>1000000</v>
      </c>
      <c r="H179" s="256">
        <v>250000</v>
      </c>
      <c r="I179" s="256">
        <v>1000000</v>
      </c>
      <c r="J179" s="326"/>
      <c r="K179" s="614">
        <f t="shared" si="4"/>
        <v>1000000</v>
      </c>
      <c r="L179" s="614">
        <f t="shared" si="5"/>
        <v>750000</v>
      </c>
    </row>
    <row r="180" spans="1:12" s="334" customFormat="1" ht="30" customHeight="1">
      <c r="A180" s="241" t="s">
        <v>24</v>
      </c>
      <c r="B180" s="273" t="s">
        <v>363</v>
      </c>
      <c r="C180" s="273" t="s">
        <v>468</v>
      </c>
      <c r="D180" s="188">
        <v>6133</v>
      </c>
      <c r="E180" s="192" t="s">
        <v>243</v>
      </c>
      <c r="F180" s="226"/>
      <c r="G180" s="256"/>
      <c r="H180" s="256"/>
      <c r="I180" s="256"/>
      <c r="J180" s="326"/>
      <c r="K180" s="614">
        <f t="shared" si="4"/>
        <v>0</v>
      </c>
      <c r="L180" s="614">
        <f t="shared" si="5"/>
        <v>0</v>
      </c>
    </row>
    <row r="181" spans="1:12" s="334" customFormat="1" ht="30" customHeight="1">
      <c r="A181" s="241" t="s">
        <v>24</v>
      </c>
      <c r="B181" s="273" t="s">
        <v>363</v>
      </c>
      <c r="C181" s="273" t="s">
        <v>468</v>
      </c>
      <c r="D181" s="188">
        <v>6138</v>
      </c>
      <c r="E181" s="192" t="s">
        <v>177</v>
      </c>
      <c r="F181" s="226"/>
      <c r="G181" s="256"/>
      <c r="H181" s="256"/>
      <c r="I181" s="256"/>
      <c r="J181" s="326"/>
      <c r="K181" s="614">
        <f t="shared" si="4"/>
        <v>0</v>
      </c>
      <c r="L181" s="614">
        <f t="shared" si="5"/>
        <v>0</v>
      </c>
    </row>
    <row r="182" spans="1:12" s="334" customFormat="1" ht="30" customHeight="1">
      <c r="A182" s="241" t="s">
        <v>24</v>
      </c>
      <c r="B182" s="273" t="s">
        <v>363</v>
      </c>
      <c r="C182" s="273" t="s">
        <v>468</v>
      </c>
      <c r="D182" s="188">
        <v>6052</v>
      </c>
      <c r="E182" s="235" t="s">
        <v>10</v>
      </c>
      <c r="F182" s="226"/>
      <c r="G182" s="256"/>
      <c r="H182" s="256"/>
      <c r="I182" s="256"/>
      <c r="J182" s="326"/>
      <c r="K182" s="614">
        <f t="shared" si="4"/>
        <v>0</v>
      </c>
      <c r="L182" s="614">
        <f t="shared" si="5"/>
        <v>0</v>
      </c>
    </row>
    <row r="183" spans="1:12" ht="30" customHeight="1">
      <c r="A183" s="241" t="s">
        <v>24</v>
      </c>
      <c r="B183" s="273" t="s">
        <v>363</v>
      </c>
      <c r="C183" s="273" t="s">
        <v>468</v>
      </c>
      <c r="D183" s="188">
        <v>6152</v>
      </c>
      <c r="E183" s="235" t="s">
        <v>256</v>
      </c>
      <c r="F183" s="226"/>
      <c r="G183" s="256"/>
      <c r="H183" s="256"/>
      <c r="I183" s="256"/>
      <c r="J183" s="326"/>
      <c r="K183" s="614">
        <f t="shared" si="4"/>
        <v>0</v>
      </c>
      <c r="L183" s="614">
        <f t="shared" si="5"/>
        <v>0</v>
      </c>
    </row>
    <row r="184" spans="1:12" ht="30" customHeight="1">
      <c r="A184" s="241" t="s">
        <v>24</v>
      </c>
      <c r="B184" s="273" t="s">
        <v>363</v>
      </c>
      <c r="C184" s="273" t="s">
        <v>468</v>
      </c>
      <c r="D184" s="188">
        <v>6111</v>
      </c>
      <c r="E184" s="239" t="s">
        <v>11</v>
      </c>
      <c r="F184" s="226"/>
      <c r="G184" s="256"/>
      <c r="H184" s="256"/>
      <c r="I184" s="256"/>
      <c r="J184" s="579"/>
      <c r="K184" s="614">
        <f t="shared" si="4"/>
        <v>0</v>
      </c>
      <c r="L184" s="614">
        <f t="shared" si="5"/>
        <v>0</v>
      </c>
    </row>
    <row r="185" spans="1:12" ht="30" customHeight="1">
      <c r="A185" s="241" t="s">
        <v>24</v>
      </c>
      <c r="B185" s="273" t="s">
        <v>363</v>
      </c>
      <c r="C185" s="273" t="s">
        <v>468</v>
      </c>
      <c r="D185" s="188">
        <v>6112</v>
      </c>
      <c r="E185" s="235" t="s">
        <v>12</v>
      </c>
      <c r="F185" s="226"/>
      <c r="G185" s="256"/>
      <c r="H185" s="256"/>
      <c r="I185" s="256"/>
      <c r="J185" s="580"/>
      <c r="K185" s="614">
        <f t="shared" si="4"/>
        <v>0</v>
      </c>
      <c r="L185" s="614">
        <f t="shared" si="5"/>
        <v>0</v>
      </c>
    </row>
    <row r="186" spans="1:12" ht="30" customHeight="1">
      <c r="A186" s="241" t="s">
        <v>24</v>
      </c>
      <c r="B186" s="273" t="s">
        <v>363</v>
      </c>
      <c r="C186" s="273" t="s">
        <v>468</v>
      </c>
      <c r="D186" s="187">
        <v>6173</v>
      </c>
      <c r="E186" s="238" t="s">
        <v>244</v>
      </c>
      <c r="F186" s="226"/>
      <c r="G186" s="242"/>
      <c r="H186" s="242"/>
      <c r="I186" s="242"/>
      <c r="J186" s="580"/>
      <c r="K186" s="614">
        <f t="shared" si="4"/>
        <v>0</v>
      </c>
      <c r="L186" s="614">
        <f t="shared" si="5"/>
        <v>0</v>
      </c>
    </row>
    <row r="187" spans="1:12" ht="30" customHeight="1">
      <c r="A187" s="241" t="s">
        <v>24</v>
      </c>
      <c r="B187" s="273" t="s">
        <v>363</v>
      </c>
      <c r="C187" s="273" t="s">
        <v>468</v>
      </c>
      <c r="D187" s="187">
        <v>6175</v>
      </c>
      <c r="E187" s="238" t="s">
        <v>13</v>
      </c>
      <c r="F187" s="226"/>
      <c r="G187" s="256"/>
      <c r="H187" s="256"/>
      <c r="I187" s="256"/>
      <c r="J187" s="580"/>
      <c r="K187" s="614">
        <f t="shared" si="4"/>
        <v>0</v>
      </c>
      <c r="L187" s="614">
        <f t="shared" si="5"/>
        <v>0</v>
      </c>
    </row>
    <row r="188" spans="1:12" ht="30" customHeight="1">
      <c r="A188" s="241" t="s">
        <v>24</v>
      </c>
      <c r="B188" s="273" t="s">
        <v>363</v>
      </c>
      <c r="C188" s="273" t="s">
        <v>468</v>
      </c>
      <c r="D188" s="188">
        <v>2121</v>
      </c>
      <c r="E188" s="192" t="s">
        <v>590</v>
      </c>
      <c r="F188" s="226"/>
      <c r="G188" s="256"/>
      <c r="H188" s="256"/>
      <c r="I188" s="256"/>
      <c r="J188" s="300"/>
      <c r="K188" s="614">
        <f t="shared" si="4"/>
        <v>0</v>
      </c>
      <c r="L188" s="614">
        <f t="shared" si="5"/>
        <v>0</v>
      </c>
    </row>
    <row r="189" spans="1:12" ht="30" customHeight="1">
      <c r="A189" s="241" t="s">
        <v>24</v>
      </c>
      <c r="B189" s="273" t="s">
        <v>363</v>
      </c>
      <c r="C189" s="273" t="s">
        <v>468</v>
      </c>
      <c r="D189" s="187">
        <v>2164</v>
      </c>
      <c r="E189" s="192" t="s">
        <v>283</v>
      </c>
      <c r="F189" s="226"/>
      <c r="G189" s="256"/>
      <c r="H189" s="256"/>
      <c r="I189" s="256"/>
      <c r="J189" s="326"/>
      <c r="K189" s="614">
        <f t="shared" si="4"/>
        <v>0</v>
      </c>
      <c r="L189" s="614">
        <f t="shared" si="5"/>
        <v>0</v>
      </c>
    </row>
    <row r="190" spans="1:12" ht="30" customHeight="1">
      <c r="A190" s="241" t="s">
        <v>24</v>
      </c>
      <c r="B190" s="273" t="s">
        <v>363</v>
      </c>
      <c r="C190" s="273" t="s">
        <v>468</v>
      </c>
      <c r="D190" s="188">
        <v>2171</v>
      </c>
      <c r="E190" s="192" t="s">
        <v>284</v>
      </c>
      <c r="F190" s="226"/>
      <c r="G190" s="256"/>
      <c r="H190" s="256"/>
      <c r="I190" s="256"/>
      <c r="J190" s="326"/>
      <c r="K190" s="614">
        <f t="shared" si="4"/>
        <v>0</v>
      </c>
      <c r="L190" s="614">
        <f t="shared" si="5"/>
        <v>0</v>
      </c>
    </row>
    <row r="191" spans="1:12" ht="30" customHeight="1">
      <c r="A191" s="241" t="s">
        <v>24</v>
      </c>
      <c r="B191" s="273" t="s">
        <v>363</v>
      </c>
      <c r="C191" s="273" t="s">
        <v>468</v>
      </c>
      <c r="D191" s="257" t="s">
        <v>20</v>
      </c>
      <c r="E191" s="226"/>
      <c r="F191" s="226"/>
      <c r="G191" s="300">
        <f>SUBTOTAL(9,G173:G190)</f>
        <v>11000000</v>
      </c>
      <c r="H191" s="300">
        <f>SUBTOTAL(9,H173:H190)</f>
        <v>2750000</v>
      </c>
      <c r="I191" s="300">
        <f>SUBTOTAL(9,I173:I190)</f>
        <v>11000000</v>
      </c>
      <c r="J191" s="326"/>
      <c r="K191" s="614">
        <f t="shared" si="4"/>
        <v>11000000</v>
      </c>
      <c r="L191" s="614">
        <f t="shared" si="5"/>
        <v>8250000</v>
      </c>
    </row>
    <row r="192" spans="1:12" ht="30" customHeight="1">
      <c r="A192" s="241" t="s">
        <v>24</v>
      </c>
      <c r="B192" s="273" t="s">
        <v>682</v>
      </c>
      <c r="C192" s="245"/>
      <c r="D192" s="255" t="s">
        <v>680</v>
      </c>
      <c r="E192" s="226"/>
      <c r="F192" s="226"/>
      <c r="G192" s="300"/>
      <c r="H192" s="267"/>
      <c r="I192" s="300"/>
      <c r="J192" s="326"/>
      <c r="K192" s="614">
        <f t="shared" si="4"/>
        <v>0</v>
      </c>
      <c r="L192" s="614">
        <f t="shared" si="5"/>
        <v>0</v>
      </c>
    </row>
    <row r="193" spans="1:12" ht="30" customHeight="1">
      <c r="A193" s="241" t="s">
        <v>24</v>
      </c>
      <c r="B193" s="329" t="s">
        <v>682</v>
      </c>
      <c r="C193" s="245"/>
      <c r="D193" s="188">
        <v>6311</v>
      </c>
      <c r="E193" s="226" t="s">
        <v>681</v>
      </c>
      <c r="F193" s="226"/>
      <c r="G193" s="300"/>
      <c r="H193" s="267"/>
      <c r="I193" s="256">
        <v>5000000</v>
      </c>
      <c r="J193" s="326"/>
      <c r="K193" s="614">
        <f t="shared" si="4"/>
        <v>5000000</v>
      </c>
      <c r="L193" s="614">
        <f t="shared" si="5"/>
        <v>5000000</v>
      </c>
    </row>
    <row r="194" spans="1:12" ht="30" customHeight="1">
      <c r="A194" s="241" t="s">
        <v>24</v>
      </c>
      <c r="B194" s="273" t="s">
        <v>682</v>
      </c>
      <c r="C194" s="245"/>
      <c r="D194" s="257" t="s">
        <v>20</v>
      </c>
      <c r="E194" s="226"/>
      <c r="F194" s="226"/>
      <c r="G194" s="300"/>
      <c r="H194" s="267"/>
      <c r="I194" s="300">
        <f>I193</f>
        <v>5000000</v>
      </c>
      <c r="J194" s="326"/>
      <c r="K194" s="614">
        <f t="shared" si="4"/>
        <v>5000000</v>
      </c>
      <c r="L194" s="614">
        <f t="shared" si="5"/>
        <v>5000000</v>
      </c>
    </row>
    <row r="195" spans="1:12" ht="30" customHeight="1">
      <c r="A195" s="241" t="s">
        <v>24</v>
      </c>
      <c r="B195" s="309" t="s">
        <v>618</v>
      </c>
      <c r="C195" s="273"/>
      <c r="D195" s="188"/>
      <c r="E195" s="267"/>
      <c r="F195" s="300">
        <f>F191+F171+F160+F155+F149+F143+F136+F117+F109+F99+F90+F81</f>
        <v>2660</v>
      </c>
      <c r="G195" s="300">
        <f>G194+G191+G171+G160+G155+G149+G146+G143+G136+G117+G109+G99+G90+G81</f>
        <v>6676067182.221</v>
      </c>
      <c r="H195" s="300">
        <f>H194+H191+H171+H160+H155+H149+H146+H143+H136+H117+H109+H99+H90+H81</f>
        <v>6455372977.150002</v>
      </c>
      <c r="I195" s="300">
        <f>I194+I191+I171+I160+I155+I149+I146+I143+I136+I117+I109+I99+I90+I81</f>
        <v>6717029584.221</v>
      </c>
      <c r="J195" s="326"/>
      <c r="K195" s="614">
        <f t="shared" si="4"/>
        <v>6717029584.221</v>
      </c>
      <c r="L195" s="614">
        <f t="shared" si="5"/>
        <v>261656607.0709982</v>
      </c>
    </row>
    <row r="196" spans="1:12" ht="30" customHeight="1">
      <c r="A196" s="656" t="s">
        <v>44</v>
      </c>
      <c r="B196" s="260" t="s">
        <v>538</v>
      </c>
      <c r="C196" s="244"/>
      <c r="D196" s="188"/>
      <c r="E196" s="226"/>
      <c r="F196" s="226"/>
      <c r="G196" s="242"/>
      <c r="H196" s="242"/>
      <c r="I196" s="242"/>
      <c r="J196" s="581"/>
      <c r="K196" s="614">
        <f t="shared" si="4"/>
        <v>0</v>
      </c>
      <c r="L196" s="614">
        <f t="shared" si="5"/>
        <v>0</v>
      </c>
    </row>
    <row r="197" spans="1:12" ht="30" customHeight="1">
      <c r="A197" s="657" t="s">
        <v>44</v>
      </c>
      <c r="B197" s="273" t="s">
        <v>364</v>
      </c>
      <c r="C197" s="273" t="s">
        <v>470</v>
      </c>
      <c r="D197" s="261" t="s">
        <v>45</v>
      </c>
      <c r="E197" s="251"/>
      <c r="F197" s="251"/>
      <c r="G197" s="242"/>
      <c r="H197" s="242"/>
      <c r="I197" s="242"/>
      <c r="J197" s="326"/>
      <c r="K197" s="614">
        <f t="shared" si="4"/>
        <v>0</v>
      </c>
      <c r="L197" s="614">
        <f t="shared" si="5"/>
        <v>0</v>
      </c>
    </row>
    <row r="198" spans="1:12" ht="30" customHeight="1">
      <c r="A198" s="657" t="s">
        <v>44</v>
      </c>
      <c r="B198" s="273" t="s">
        <v>364</v>
      </c>
      <c r="C198" s="273" t="s">
        <v>470</v>
      </c>
      <c r="D198" s="188">
        <v>6611</v>
      </c>
      <c r="E198" s="196" t="s">
        <v>6</v>
      </c>
      <c r="F198" s="251">
        <v>98</v>
      </c>
      <c r="G198" s="242">
        <v>144086040</v>
      </c>
      <c r="H198" s="242">
        <v>158329014.42999998</v>
      </c>
      <c r="I198" s="242">
        <v>144086040</v>
      </c>
      <c r="J198" s="326"/>
      <c r="K198" s="614">
        <f aca="true" t="shared" si="6" ref="K198:K261">I198+J198</f>
        <v>144086040</v>
      </c>
      <c r="L198" s="614">
        <f t="shared" si="5"/>
        <v>-14242974.429999977</v>
      </c>
    </row>
    <row r="199" spans="1:12" ht="30" customHeight="1">
      <c r="A199" s="657" t="s">
        <v>44</v>
      </c>
      <c r="B199" s="273" t="s">
        <v>364</v>
      </c>
      <c r="C199" s="273" t="s">
        <v>470</v>
      </c>
      <c r="D199" s="188">
        <v>60100</v>
      </c>
      <c r="E199" s="196" t="s">
        <v>7</v>
      </c>
      <c r="F199" s="251"/>
      <c r="G199" s="242">
        <v>2000000</v>
      </c>
      <c r="H199" s="242">
        <v>291750</v>
      </c>
      <c r="I199" s="242">
        <v>2000000</v>
      </c>
      <c r="J199" s="326"/>
      <c r="K199" s="614">
        <f t="shared" si="6"/>
        <v>2000000</v>
      </c>
      <c r="L199" s="614">
        <f aca="true" t="shared" si="7" ref="L199:L262">K199-H199</f>
        <v>1708250</v>
      </c>
    </row>
    <row r="200" spans="1:12" ht="30" customHeight="1">
      <c r="A200" s="657" t="s">
        <v>44</v>
      </c>
      <c r="B200" s="273" t="s">
        <v>364</v>
      </c>
      <c r="C200" s="273" t="s">
        <v>470</v>
      </c>
      <c r="D200" s="188">
        <v>6122</v>
      </c>
      <c r="E200" s="235" t="s">
        <v>582</v>
      </c>
      <c r="F200" s="251"/>
      <c r="G200" s="242">
        <v>1000000</v>
      </c>
      <c r="H200" s="242"/>
      <c r="I200" s="242">
        <v>1000000</v>
      </c>
      <c r="J200" s="326"/>
      <c r="K200" s="614">
        <f t="shared" si="6"/>
        <v>1000000</v>
      </c>
      <c r="L200" s="614">
        <f t="shared" si="7"/>
        <v>1000000</v>
      </c>
    </row>
    <row r="201" spans="1:12" ht="30" customHeight="1">
      <c r="A201" s="657" t="s">
        <v>44</v>
      </c>
      <c r="B201" s="273" t="s">
        <v>364</v>
      </c>
      <c r="C201" s="273" t="s">
        <v>470</v>
      </c>
      <c r="D201" s="191">
        <v>6175</v>
      </c>
      <c r="E201" s="262" t="s">
        <v>13</v>
      </c>
      <c r="F201" s="263"/>
      <c r="G201" s="242">
        <v>3000000</v>
      </c>
      <c r="H201" s="242">
        <v>3000000</v>
      </c>
      <c r="I201" s="242">
        <v>3000000</v>
      </c>
      <c r="J201" s="326"/>
      <c r="K201" s="614">
        <f t="shared" si="6"/>
        <v>3000000</v>
      </c>
      <c r="L201" s="614">
        <f t="shared" si="7"/>
        <v>0</v>
      </c>
    </row>
    <row r="202" spans="1:12" ht="30" customHeight="1">
      <c r="A202" s="657" t="s">
        <v>44</v>
      </c>
      <c r="B202" s="273" t="s">
        <v>364</v>
      </c>
      <c r="C202" s="273" t="s">
        <v>470</v>
      </c>
      <c r="D202" s="191">
        <v>6432</v>
      </c>
      <c r="E202" s="262" t="s">
        <v>41</v>
      </c>
      <c r="F202" s="263"/>
      <c r="G202" s="242">
        <v>20000000</v>
      </c>
      <c r="H202" s="242">
        <v>18061500</v>
      </c>
      <c r="I202" s="242">
        <v>20000000</v>
      </c>
      <c r="J202" s="326"/>
      <c r="K202" s="614">
        <f t="shared" si="6"/>
        <v>20000000</v>
      </c>
      <c r="L202" s="614">
        <f t="shared" si="7"/>
        <v>1938500</v>
      </c>
    </row>
    <row r="203" spans="1:12" ht="30" customHeight="1">
      <c r="A203" s="657" t="s">
        <v>44</v>
      </c>
      <c r="B203" s="273" t="s">
        <v>364</v>
      </c>
      <c r="C203" s="273" t="s">
        <v>470</v>
      </c>
      <c r="D203" s="268" t="s">
        <v>20</v>
      </c>
      <c r="E203" s="196"/>
      <c r="F203" s="98">
        <f>SUBTOTAL(109,F198:F202)</f>
        <v>98</v>
      </c>
      <c r="G203" s="98">
        <f>SUBTOTAL(109,G198:G202)</f>
        <v>170086040</v>
      </c>
      <c r="H203" s="98">
        <f>SUBTOTAL(109,H198:H202)</f>
        <v>179682264.42999998</v>
      </c>
      <c r="I203" s="98">
        <f>SUBTOTAL(109,I198:I202)</f>
        <v>170086040</v>
      </c>
      <c r="J203" s="326"/>
      <c r="K203" s="614">
        <f t="shared" si="6"/>
        <v>170086040</v>
      </c>
      <c r="L203" s="614">
        <f t="shared" si="7"/>
        <v>-9596224.429999977</v>
      </c>
    </row>
    <row r="204" spans="1:12" ht="30" customHeight="1">
      <c r="A204" s="657" t="s">
        <v>44</v>
      </c>
      <c r="B204" s="273" t="s">
        <v>365</v>
      </c>
      <c r="C204" s="273" t="s">
        <v>470</v>
      </c>
      <c r="D204" s="254" t="s">
        <v>66</v>
      </c>
      <c r="E204" s="226"/>
      <c r="F204" s="226"/>
      <c r="G204" s="98"/>
      <c r="H204" s="267"/>
      <c r="I204" s="267"/>
      <c r="J204" s="326"/>
      <c r="K204" s="614">
        <f t="shared" si="6"/>
        <v>0</v>
      </c>
      <c r="L204" s="614">
        <f t="shared" si="7"/>
        <v>0</v>
      </c>
    </row>
    <row r="205" spans="1:12" ht="30" customHeight="1">
      <c r="A205" s="657" t="s">
        <v>44</v>
      </c>
      <c r="B205" s="273" t="s">
        <v>365</v>
      </c>
      <c r="C205" s="273" t="s">
        <v>470</v>
      </c>
      <c r="D205" s="188">
        <v>6611</v>
      </c>
      <c r="E205" s="192" t="s">
        <v>6</v>
      </c>
      <c r="F205" s="226">
        <f>6+1+2</f>
        <v>9</v>
      </c>
      <c r="G205" s="242">
        <v>23537396</v>
      </c>
      <c r="H205" s="242">
        <v>13302866.120000003</v>
      </c>
      <c r="I205" s="242">
        <v>23537396</v>
      </c>
      <c r="J205" s="326"/>
      <c r="K205" s="614">
        <f t="shared" si="6"/>
        <v>23537396</v>
      </c>
      <c r="L205" s="614">
        <f t="shared" si="7"/>
        <v>10234529.879999997</v>
      </c>
    </row>
    <row r="206" spans="1:12" ht="30" customHeight="1">
      <c r="A206" s="657" t="s">
        <v>44</v>
      </c>
      <c r="B206" s="273" t="s">
        <v>365</v>
      </c>
      <c r="C206" s="273" t="s">
        <v>470</v>
      </c>
      <c r="D206" s="188">
        <v>60100</v>
      </c>
      <c r="E206" s="192" t="s">
        <v>7</v>
      </c>
      <c r="F206" s="226"/>
      <c r="G206" s="242">
        <v>987000</v>
      </c>
      <c r="H206" s="267"/>
      <c r="I206" s="242">
        <v>987000</v>
      </c>
      <c r="J206" s="326"/>
      <c r="K206" s="614">
        <f t="shared" si="6"/>
        <v>987000</v>
      </c>
      <c r="L206" s="614">
        <f t="shared" si="7"/>
        <v>987000</v>
      </c>
    </row>
    <row r="207" spans="1:12" ht="30" customHeight="1">
      <c r="A207" s="657" t="s">
        <v>44</v>
      </c>
      <c r="B207" s="273" t="s">
        <v>365</v>
      </c>
      <c r="C207" s="273" t="s">
        <v>470</v>
      </c>
      <c r="D207" s="188">
        <v>60101</v>
      </c>
      <c r="E207" s="192" t="s">
        <v>255</v>
      </c>
      <c r="F207" s="226"/>
      <c r="G207" s="98"/>
      <c r="H207" s="267"/>
      <c r="I207" s="267"/>
      <c r="J207" s="326"/>
      <c r="K207" s="614">
        <f t="shared" si="6"/>
        <v>0</v>
      </c>
      <c r="L207" s="614">
        <f t="shared" si="7"/>
        <v>0</v>
      </c>
    </row>
    <row r="208" spans="1:12" ht="30" customHeight="1">
      <c r="A208" s="657" t="s">
        <v>44</v>
      </c>
      <c r="B208" s="273" t="s">
        <v>365</v>
      </c>
      <c r="C208" s="273" t="s">
        <v>470</v>
      </c>
      <c r="D208" s="188">
        <v>6122</v>
      </c>
      <c r="E208" s="235" t="s">
        <v>582</v>
      </c>
      <c r="F208" s="226"/>
      <c r="G208" s="242">
        <v>789600</v>
      </c>
      <c r="H208" s="267"/>
      <c r="I208" s="242">
        <v>789600</v>
      </c>
      <c r="J208" s="326"/>
      <c r="K208" s="614">
        <f t="shared" si="6"/>
        <v>789600</v>
      </c>
      <c r="L208" s="614">
        <f t="shared" si="7"/>
        <v>789600</v>
      </c>
    </row>
    <row r="209" spans="1:12" ht="30" customHeight="1">
      <c r="A209" s="657" t="s">
        <v>44</v>
      </c>
      <c r="B209" s="273" t="s">
        <v>365</v>
      </c>
      <c r="C209" s="273" t="s">
        <v>470</v>
      </c>
      <c r="D209" s="191">
        <v>6175</v>
      </c>
      <c r="E209" s="194" t="s">
        <v>13</v>
      </c>
      <c r="F209" s="253"/>
      <c r="G209" s="98"/>
      <c r="H209" s="267"/>
      <c r="I209" s="267"/>
      <c r="J209" s="326"/>
      <c r="K209" s="614">
        <f t="shared" si="6"/>
        <v>0</v>
      </c>
      <c r="L209" s="614">
        <f t="shared" si="7"/>
        <v>0</v>
      </c>
    </row>
    <row r="210" spans="1:12" ht="30" customHeight="1">
      <c r="A210" s="657" t="s">
        <v>44</v>
      </c>
      <c r="B210" s="273" t="s">
        <v>365</v>
      </c>
      <c r="C210" s="273" t="s">
        <v>470</v>
      </c>
      <c r="D210" s="257" t="s">
        <v>20</v>
      </c>
      <c r="E210" s="226"/>
      <c r="F210" s="323">
        <f>SUBTOTAL(109,F205:F209)</f>
        <v>9</v>
      </c>
      <c r="G210" s="98">
        <f>SUBTOTAL(109,G205:G209)</f>
        <v>25313996</v>
      </c>
      <c r="H210" s="98">
        <f>SUBTOTAL(109,H205:H209)</f>
        <v>13302866.120000003</v>
      </c>
      <c r="I210" s="98">
        <f>SUBTOTAL(109,I205:I209)</f>
        <v>25313996</v>
      </c>
      <c r="J210" s="326"/>
      <c r="K210" s="614">
        <f t="shared" si="6"/>
        <v>25313996</v>
      </c>
      <c r="L210" s="614">
        <f t="shared" si="7"/>
        <v>12011129.879999997</v>
      </c>
    </row>
    <row r="211" spans="1:12" ht="30" customHeight="1">
      <c r="A211" s="657" t="s">
        <v>44</v>
      </c>
      <c r="B211" s="273" t="s">
        <v>366</v>
      </c>
      <c r="C211" s="273" t="s">
        <v>471</v>
      </c>
      <c r="D211" s="264" t="s">
        <v>46</v>
      </c>
      <c r="E211" s="251"/>
      <c r="F211" s="251"/>
      <c r="G211" s="242"/>
      <c r="H211" s="242"/>
      <c r="I211" s="242"/>
      <c r="J211" s="326"/>
      <c r="K211" s="614">
        <f t="shared" si="6"/>
        <v>0</v>
      </c>
      <c r="L211" s="614">
        <f t="shared" si="7"/>
        <v>0</v>
      </c>
    </row>
    <row r="212" spans="1:12" ht="30" customHeight="1">
      <c r="A212" s="657" t="s">
        <v>44</v>
      </c>
      <c r="B212" s="273" t="s">
        <v>366</v>
      </c>
      <c r="C212" s="273" t="s">
        <v>471</v>
      </c>
      <c r="D212" s="188">
        <v>6611</v>
      </c>
      <c r="E212" s="196" t="s">
        <v>6</v>
      </c>
      <c r="F212" s="251">
        <v>2</v>
      </c>
      <c r="G212" s="242">
        <v>7280800</v>
      </c>
      <c r="H212" s="242">
        <v>10165267.459999999</v>
      </c>
      <c r="I212" s="242">
        <v>7280800</v>
      </c>
      <c r="J212" s="326"/>
      <c r="K212" s="614">
        <f t="shared" si="6"/>
        <v>7280800</v>
      </c>
      <c r="L212" s="614">
        <f t="shared" si="7"/>
        <v>-2884467.459999999</v>
      </c>
    </row>
    <row r="213" spans="1:12" ht="30" customHeight="1">
      <c r="A213" s="657" t="s">
        <v>44</v>
      </c>
      <c r="B213" s="273" t="s">
        <v>366</v>
      </c>
      <c r="C213" s="273" t="s">
        <v>471</v>
      </c>
      <c r="D213" s="188">
        <v>60100</v>
      </c>
      <c r="E213" s="262" t="s">
        <v>47</v>
      </c>
      <c r="F213" s="263"/>
      <c r="G213" s="242">
        <v>968247</v>
      </c>
      <c r="H213" s="242">
        <v>484110</v>
      </c>
      <c r="I213" s="242">
        <v>968247</v>
      </c>
      <c r="J213" s="326"/>
      <c r="K213" s="614">
        <f t="shared" si="6"/>
        <v>968247</v>
      </c>
      <c r="L213" s="614">
        <f t="shared" si="7"/>
        <v>484137</v>
      </c>
    </row>
    <row r="214" spans="1:12" ht="30" customHeight="1">
      <c r="A214" s="657" t="s">
        <v>44</v>
      </c>
      <c r="B214" s="273" t="s">
        <v>366</v>
      </c>
      <c r="C214" s="273" t="s">
        <v>471</v>
      </c>
      <c r="D214" s="188">
        <v>6122</v>
      </c>
      <c r="E214" s="235" t="s">
        <v>582</v>
      </c>
      <c r="F214" s="263"/>
      <c r="G214" s="242">
        <v>870534</v>
      </c>
      <c r="H214" s="242"/>
      <c r="I214" s="242">
        <v>870534</v>
      </c>
      <c r="J214" s="326"/>
      <c r="K214" s="614">
        <f t="shared" si="6"/>
        <v>870534</v>
      </c>
      <c r="L214" s="614">
        <f t="shared" si="7"/>
        <v>870534</v>
      </c>
    </row>
    <row r="215" spans="1:12" ht="30" customHeight="1">
      <c r="A215" s="657" t="s">
        <v>44</v>
      </c>
      <c r="B215" s="273" t="s">
        <v>366</v>
      </c>
      <c r="C215" s="273" t="s">
        <v>471</v>
      </c>
      <c r="D215" s="191">
        <v>6112</v>
      </c>
      <c r="E215" s="262" t="s">
        <v>48</v>
      </c>
      <c r="F215" s="263"/>
      <c r="G215" s="242">
        <v>0</v>
      </c>
      <c r="H215" s="242"/>
      <c r="I215" s="242">
        <v>0</v>
      </c>
      <c r="J215" s="326"/>
      <c r="K215" s="614">
        <f t="shared" si="6"/>
        <v>0</v>
      </c>
      <c r="L215" s="614">
        <f t="shared" si="7"/>
        <v>0</v>
      </c>
    </row>
    <row r="216" spans="1:12" ht="30" customHeight="1">
      <c r="A216" s="657" t="s">
        <v>44</v>
      </c>
      <c r="B216" s="273" t="s">
        <v>366</v>
      </c>
      <c r="C216" s="273" t="s">
        <v>471</v>
      </c>
      <c r="D216" s="191">
        <v>6175</v>
      </c>
      <c r="E216" s="262" t="s">
        <v>49</v>
      </c>
      <c r="F216" s="263"/>
      <c r="G216" s="242">
        <v>800000</v>
      </c>
      <c r="H216" s="242"/>
      <c r="I216" s="242">
        <v>800000</v>
      </c>
      <c r="J216" s="326"/>
      <c r="K216" s="614">
        <f t="shared" si="6"/>
        <v>800000</v>
      </c>
      <c r="L216" s="614">
        <f t="shared" si="7"/>
        <v>800000</v>
      </c>
    </row>
    <row r="217" spans="1:13" ht="30" customHeight="1">
      <c r="A217" s="657" t="s">
        <v>44</v>
      </c>
      <c r="B217" s="273" t="s">
        <v>366</v>
      </c>
      <c r="C217" s="273" t="s">
        <v>471</v>
      </c>
      <c r="D217" s="268" t="s">
        <v>20</v>
      </c>
      <c r="E217" s="251"/>
      <c r="F217" s="98">
        <f>SUBTOTAL(109,F212:F216)</f>
        <v>2</v>
      </c>
      <c r="G217" s="98">
        <f>SUBTOTAL(109,G212:G216)</f>
        <v>9919581</v>
      </c>
      <c r="H217" s="98">
        <f>SUBTOTAL(109,H212:H216)</f>
        <v>10649377.459999999</v>
      </c>
      <c r="I217" s="98">
        <f>SUBTOTAL(109,I212:I216)</f>
        <v>9919581</v>
      </c>
      <c r="J217" s="326"/>
      <c r="K217" s="614">
        <f t="shared" si="6"/>
        <v>9919581</v>
      </c>
      <c r="L217" s="614">
        <f t="shared" si="7"/>
        <v>-729796.459999999</v>
      </c>
      <c r="M217" s="575"/>
    </row>
    <row r="218" spans="1:13" ht="30" customHeight="1">
      <c r="A218" s="657" t="s">
        <v>44</v>
      </c>
      <c r="B218" s="273" t="s">
        <v>367</v>
      </c>
      <c r="C218" s="273" t="s">
        <v>472</v>
      </c>
      <c r="D218" s="265" t="s">
        <v>50</v>
      </c>
      <c r="E218" s="251"/>
      <c r="F218" s="251"/>
      <c r="G218" s="242"/>
      <c r="H218" s="242"/>
      <c r="I218" s="242"/>
      <c r="J218" s="326"/>
      <c r="K218" s="614">
        <f t="shared" si="6"/>
        <v>0</v>
      </c>
      <c r="L218" s="614">
        <f t="shared" si="7"/>
        <v>0</v>
      </c>
      <c r="M218" s="575"/>
    </row>
    <row r="219" spans="1:12" ht="30" customHeight="1">
      <c r="A219" s="657" t="s">
        <v>44</v>
      </c>
      <c r="B219" s="273" t="s">
        <v>367</v>
      </c>
      <c r="C219" s="273" t="s">
        <v>472</v>
      </c>
      <c r="D219" s="188">
        <v>6611</v>
      </c>
      <c r="E219" s="196" t="s">
        <v>6</v>
      </c>
      <c r="F219" s="251">
        <v>10</v>
      </c>
      <c r="G219" s="242">
        <v>18051200</v>
      </c>
      <c r="H219" s="242">
        <v>19046066.560000002</v>
      </c>
      <c r="I219" s="242">
        <v>18051200</v>
      </c>
      <c r="J219" s="326"/>
      <c r="K219" s="614">
        <f t="shared" si="6"/>
        <v>18051200</v>
      </c>
      <c r="L219" s="614">
        <f t="shared" si="7"/>
        <v>-994866.5600000024</v>
      </c>
    </row>
    <row r="220" spans="1:12" ht="30" customHeight="1">
      <c r="A220" s="657" t="s">
        <v>44</v>
      </c>
      <c r="B220" s="273" t="s">
        <v>367</v>
      </c>
      <c r="C220" s="273" t="s">
        <v>472</v>
      </c>
      <c r="D220" s="188">
        <v>60100</v>
      </c>
      <c r="E220" s="196" t="s">
        <v>7</v>
      </c>
      <c r="F220" s="251"/>
      <c r="G220" s="242">
        <v>968247</v>
      </c>
      <c r="H220" s="242"/>
      <c r="I220" s="242">
        <v>968247</v>
      </c>
      <c r="J220" s="326"/>
      <c r="K220" s="614">
        <f t="shared" si="6"/>
        <v>968247</v>
      </c>
      <c r="L220" s="614">
        <f t="shared" si="7"/>
        <v>968247</v>
      </c>
    </row>
    <row r="221" spans="1:12" ht="30" customHeight="1">
      <c r="A221" s="657" t="s">
        <v>44</v>
      </c>
      <c r="B221" s="273" t="s">
        <v>367</v>
      </c>
      <c r="C221" s="273" t="s">
        <v>472</v>
      </c>
      <c r="D221" s="188">
        <v>6122</v>
      </c>
      <c r="E221" s="235" t="s">
        <v>582</v>
      </c>
      <c r="F221" s="251"/>
      <c r="G221" s="242">
        <v>870534</v>
      </c>
      <c r="H221" s="242"/>
      <c r="I221" s="242">
        <v>870534</v>
      </c>
      <c r="J221" s="326"/>
      <c r="K221" s="614">
        <f t="shared" si="6"/>
        <v>870534</v>
      </c>
      <c r="L221" s="614">
        <f t="shared" si="7"/>
        <v>870534</v>
      </c>
    </row>
    <row r="222" spans="1:12" ht="30" customHeight="1">
      <c r="A222" s="657" t="s">
        <v>44</v>
      </c>
      <c r="B222" s="273" t="s">
        <v>367</v>
      </c>
      <c r="C222" s="273" t="s">
        <v>472</v>
      </c>
      <c r="D222" s="191">
        <v>6112</v>
      </c>
      <c r="E222" s="196" t="s">
        <v>12</v>
      </c>
      <c r="F222" s="251"/>
      <c r="G222" s="242"/>
      <c r="H222" s="242"/>
      <c r="I222" s="242"/>
      <c r="J222" s="326"/>
      <c r="K222" s="614">
        <f t="shared" si="6"/>
        <v>0</v>
      </c>
      <c r="L222" s="614">
        <f t="shared" si="7"/>
        <v>0</v>
      </c>
    </row>
    <row r="223" spans="1:12" ht="30" customHeight="1">
      <c r="A223" s="657" t="s">
        <v>44</v>
      </c>
      <c r="B223" s="273" t="s">
        <v>367</v>
      </c>
      <c r="C223" s="273" t="s">
        <v>472</v>
      </c>
      <c r="D223" s="268" t="s">
        <v>20</v>
      </c>
      <c r="E223" s="251"/>
      <c r="F223" s="98">
        <f>SUBTOTAL(109,F219:F222)</f>
        <v>10</v>
      </c>
      <c r="G223" s="98">
        <f>SUBTOTAL(109,G219:G222)</f>
        <v>19889981</v>
      </c>
      <c r="H223" s="98">
        <f>SUBTOTAL(109,H219:H222)</f>
        <v>19046066.560000002</v>
      </c>
      <c r="I223" s="98">
        <f>SUBTOTAL(109,I219:I222)</f>
        <v>19889981</v>
      </c>
      <c r="J223" s="326"/>
      <c r="K223" s="614">
        <f t="shared" si="6"/>
        <v>19889981</v>
      </c>
      <c r="L223" s="614">
        <f t="shared" si="7"/>
        <v>843914.4399999976</v>
      </c>
    </row>
    <row r="224" spans="1:12" ht="30" customHeight="1">
      <c r="A224" s="657" t="s">
        <v>44</v>
      </c>
      <c r="B224" s="273" t="s">
        <v>368</v>
      </c>
      <c r="C224" s="273" t="s">
        <v>473</v>
      </c>
      <c r="D224" s="265" t="s">
        <v>51</v>
      </c>
      <c r="E224" s="251"/>
      <c r="F224" s="251"/>
      <c r="G224" s="242"/>
      <c r="H224" s="242"/>
      <c r="I224" s="242"/>
      <c r="J224" s="326"/>
      <c r="K224" s="614">
        <f t="shared" si="6"/>
        <v>0</v>
      </c>
      <c r="L224" s="614">
        <f t="shared" si="7"/>
        <v>0</v>
      </c>
    </row>
    <row r="225" spans="1:12" ht="30" customHeight="1">
      <c r="A225" s="657" t="s">
        <v>44</v>
      </c>
      <c r="B225" s="273" t="s">
        <v>368</v>
      </c>
      <c r="C225" s="273" t="s">
        <v>473</v>
      </c>
      <c r="D225" s="188">
        <v>6611</v>
      </c>
      <c r="E225" s="196" t="s">
        <v>6</v>
      </c>
      <c r="F225" s="251">
        <v>34</v>
      </c>
      <c r="G225" s="242">
        <v>86755642</v>
      </c>
      <c r="H225" s="242">
        <v>78515424.28999999</v>
      </c>
      <c r="I225" s="242">
        <v>86755642</v>
      </c>
      <c r="J225" s="326"/>
      <c r="K225" s="614">
        <f t="shared" si="6"/>
        <v>86755642</v>
      </c>
      <c r="L225" s="614">
        <f t="shared" si="7"/>
        <v>8240217.710000008</v>
      </c>
    </row>
    <row r="226" spans="1:12" ht="30" customHeight="1">
      <c r="A226" s="657" t="s">
        <v>44</v>
      </c>
      <c r="B226" s="273" t="s">
        <v>368</v>
      </c>
      <c r="C226" s="273" t="s">
        <v>473</v>
      </c>
      <c r="D226" s="188">
        <v>60100</v>
      </c>
      <c r="E226" s="196" t="s">
        <v>7</v>
      </c>
      <c r="F226" s="251"/>
      <c r="G226" s="242">
        <v>2000000</v>
      </c>
      <c r="H226" s="242"/>
      <c r="I226" s="242">
        <v>2000000</v>
      </c>
      <c r="J226" s="326"/>
      <c r="K226" s="614">
        <f t="shared" si="6"/>
        <v>2000000</v>
      </c>
      <c r="L226" s="614">
        <f t="shared" si="7"/>
        <v>2000000</v>
      </c>
    </row>
    <row r="227" spans="1:12" ht="30" customHeight="1">
      <c r="A227" s="657" t="s">
        <v>44</v>
      </c>
      <c r="B227" s="273" t="s">
        <v>368</v>
      </c>
      <c r="C227" s="273" t="s">
        <v>473</v>
      </c>
      <c r="D227" s="188">
        <v>6122</v>
      </c>
      <c r="E227" s="235" t="s">
        <v>582</v>
      </c>
      <c r="F227" s="251"/>
      <c r="G227" s="242">
        <v>987000</v>
      </c>
      <c r="H227" s="242"/>
      <c r="I227" s="242">
        <v>987000</v>
      </c>
      <c r="J227" s="326"/>
      <c r="K227" s="614">
        <f t="shared" si="6"/>
        <v>987000</v>
      </c>
      <c r="L227" s="614">
        <f t="shared" si="7"/>
        <v>987000</v>
      </c>
    </row>
    <row r="228" spans="1:12" ht="30" customHeight="1">
      <c r="A228" s="657" t="s">
        <v>44</v>
      </c>
      <c r="B228" s="273" t="s">
        <v>368</v>
      </c>
      <c r="C228" s="273" t="s">
        <v>473</v>
      </c>
      <c r="D228" s="188">
        <v>6112</v>
      </c>
      <c r="E228" s="196" t="s">
        <v>12</v>
      </c>
      <c r="F228" s="251"/>
      <c r="G228" s="242"/>
      <c r="H228" s="242"/>
      <c r="I228" s="242"/>
      <c r="J228" s="326"/>
      <c r="K228" s="614">
        <f t="shared" si="6"/>
        <v>0</v>
      </c>
      <c r="L228" s="614">
        <f t="shared" si="7"/>
        <v>0</v>
      </c>
    </row>
    <row r="229" spans="1:12" ht="30" customHeight="1">
      <c r="A229" s="657" t="s">
        <v>44</v>
      </c>
      <c r="B229" s="273" t="s">
        <v>368</v>
      </c>
      <c r="C229" s="273" t="s">
        <v>473</v>
      </c>
      <c r="D229" s="268" t="s">
        <v>20</v>
      </c>
      <c r="E229" s="251"/>
      <c r="F229" s="98">
        <f>SUBTOTAL(109,F225:F228)</f>
        <v>34</v>
      </c>
      <c r="G229" s="98">
        <f>SUBTOTAL(109,G225:G228)</f>
        <v>89742642</v>
      </c>
      <c r="H229" s="98">
        <f>SUBTOTAL(109,H225:H228)</f>
        <v>78515424.28999999</v>
      </c>
      <c r="I229" s="98">
        <f>SUBTOTAL(109,I225:I228)</f>
        <v>89742642</v>
      </c>
      <c r="J229" s="326"/>
      <c r="K229" s="614">
        <f t="shared" si="6"/>
        <v>89742642</v>
      </c>
      <c r="L229" s="614">
        <f t="shared" si="7"/>
        <v>11227217.710000008</v>
      </c>
    </row>
    <row r="230" spans="1:12" ht="30" customHeight="1">
      <c r="A230" s="657" t="s">
        <v>44</v>
      </c>
      <c r="B230" s="273" t="s">
        <v>369</v>
      </c>
      <c r="C230" s="273" t="s">
        <v>471</v>
      </c>
      <c r="D230" s="265" t="s">
        <v>52</v>
      </c>
      <c r="E230" s="251"/>
      <c r="F230" s="251"/>
      <c r="G230" s="242"/>
      <c r="H230" s="242"/>
      <c r="I230" s="242"/>
      <c r="J230" s="326"/>
      <c r="K230" s="614">
        <f t="shared" si="6"/>
        <v>0</v>
      </c>
      <c r="L230" s="614">
        <f t="shared" si="7"/>
        <v>0</v>
      </c>
    </row>
    <row r="231" spans="1:12" ht="30" customHeight="1">
      <c r="A231" s="657" t="s">
        <v>44</v>
      </c>
      <c r="B231" s="273" t="s">
        <v>369</v>
      </c>
      <c r="C231" s="273" t="s">
        <v>471</v>
      </c>
      <c r="D231" s="188">
        <v>6611</v>
      </c>
      <c r="E231" s="196" t="s">
        <v>6</v>
      </c>
      <c r="F231" s="251">
        <v>13</v>
      </c>
      <c r="G231" s="242">
        <v>25019760</v>
      </c>
      <c r="H231" s="242">
        <v>26116068.519999996</v>
      </c>
      <c r="I231" s="242">
        <v>25019760</v>
      </c>
      <c r="J231" s="326"/>
      <c r="K231" s="614">
        <f t="shared" si="6"/>
        <v>25019760</v>
      </c>
      <c r="L231" s="614">
        <f t="shared" si="7"/>
        <v>-1096308.5199999958</v>
      </c>
    </row>
    <row r="232" spans="1:12" ht="30" customHeight="1">
      <c r="A232" s="657" t="s">
        <v>44</v>
      </c>
      <c r="B232" s="273" t="s">
        <v>369</v>
      </c>
      <c r="C232" s="273" t="s">
        <v>471</v>
      </c>
      <c r="D232" s="188">
        <v>60100</v>
      </c>
      <c r="E232" s="196" t="s">
        <v>7</v>
      </c>
      <c r="F232" s="251"/>
      <c r="G232" s="242">
        <v>968247</v>
      </c>
      <c r="H232" s="242"/>
      <c r="I232" s="242">
        <v>968247</v>
      </c>
      <c r="J232" s="326"/>
      <c r="K232" s="614">
        <f t="shared" si="6"/>
        <v>968247</v>
      </c>
      <c r="L232" s="614">
        <f t="shared" si="7"/>
        <v>968247</v>
      </c>
    </row>
    <row r="233" spans="1:12" ht="30" customHeight="1">
      <c r="A233" s="657" t="s">
        <v>44</v>
      </c>
      <c r="B233" s="273" t="s">
        <v>369</v>
      </c>
      <c r="C233" s="273" t="s">
        <v>471</v>
      </c>
      <c r="D233" s="188">
        <v>6122</v>
      </c>
      <c r="E233" s="235" t="s">
        <v>582</v>
      </c>
      <c r="F233" s="251"/>
      <c r="G233" s="242">
        <v>871422.3</v>
      </c>
      <c r="H233" s="242"/>
      <c r="I233" s="242">
        <v>871422.3</v>
      </c>
      <c r="J233" s="326"/>
      <c r="K233" s="614">
        <f t="shared" si="6"/>
        <v>871422.3</v>
      </c>
      <c r="L233" s="614">
        <f t="shared" si="7"/>
        <v>871422.3</v>
      </c>
    </row>
    <row r="234" spans="1:12" ht="30" customHeight="1">
      <c r="A234" s="657" t="s">
        <v>44</v>
      </c>
      <c r="B234" s="273" t="s">
        <v>369</v>
      </c>
      <c r="C234" s="273" t="s">
        <v>471</v>
      </c>
      <c r="D234" s="188">
        <v>6112</v>
      </c>
      <c r="E234" s="196" t="s">
        <v>12</v>
      </c>
      <c r="F234" s="251"/>
      <c r="G234" s="98"/>
      <c r="H234" s="98"/>
      <c r="I234" s="98"/>
      <c r="J234" s="326"/>
      <c r="K234" s="614">
        <f t="shared" si="6"/>
        <v>0</v>
      </c>
      <c r="L234" s="614">
        <f t="shared" si="7"/>
        <v>0</v>
      </c>
    </row>
    <row r="235" spans="1:12" ht="30" customHeight="1">
      <c r="A235" s="657" t="s">
        <v>44</v>
      </c>
      <c r="B235" s="273" t="s">
        <v>369</v>
      </c>
      <c r="C235" s="273" t="s">
        <v>471</v>
      </c>
      <c r="D235" s="268" t="s">
        <v>20</v>
      </c>
      <c r="E235" s="251"/>
      <c r="F235" s="98">
        <f>SUBTOTAL(109,F231:F234)</f>
        <v>13</v>
      </c>
      <c r="G235" s="98">
        <f>SUBTOTAL(109,G231:G234)</f>
        <v>26859429.3</v>
      </c>
      <c r="H235" s="98">
        <f>SUBTOTAL(109,H231:H234)</f>
        <v>26116068.519999996</v>
      </c>
      <c r="I235" s="98">
        <f>SUBTOTAL(109,I231:I234)</f>
        <v>26859429.3</v>
      </c>
      <c r="J235" s="326"/>
      <c r="K235" s="614">
        <f t="shared" si="6"/>
        <v>26859429.3</v>
      </c>
      <c r="L235" s="614">
        <f t="shared" si="7"/>
        <v>743360.7800000049</v>
      </c>
    </row>
    <row r="236" spans="1:12" ht="30" customHeight="1">
      <c r="A236" s="657" t="s">
        <v>44</v>
      </c>
      <c r="B236" s="273" t="s">
        <v>370</v>
      </c>
      <c r="C236" s="273" t="s">
        <v>470</v>
      </c>
      <c r="D236" s="265" t="s">
        <v>53</v>
      </c>
      <c r="E236" s="251"/>
      <c r="F236" s="251"/>
      <c r="G236" s="242"/>
      <c r="H236" s="242"/>
      <c r="I236" s="242"/>
      <c r="J236" s="326"/>
      <c r="K236" s="614">
        <f t="shared" si="6"/>
        <v>0</v>
      </c>
      <c r="L236" s="614">
        <f t="shared" si="7"/>
        <v>0</v>
      </c>
    </row>
    <row r="237" spans="1:12" ht="30" customHeight="1">
      <c r="A237" s="657" t="s">
        <v>44</v>
      </c>
      <c r="B237" s="273" t="s">
        <v>370</v>
      </c>
      <c r="C237" s="273" t="s">
        <v>470</v>
      </c>
      <c r="D237" s="188">
        <v>6611</v>
      </c>
      <c r="E237" s="196" t="s">
        <v>6</v>
      </c>
      <c r="F237" s="251">
        <v>11</v>
      </c>
      <c r="G237" s="242">
        <v>25760660</v>
      </c>
      <c r="H237" s="242">
        <v>25924392.32999999</v>
      </c>
      <c r="I237" s="242">
        <v>25760660</v>
      </c>
      <c r="J237" s="326"/>
      <c r="K237" s="614">
        <f t="shared" si="6"/>
        <v>25760660</v>
      </c>
      <c r="L237" s="614">
        <f t="shared" si="7"/>
        <v>-163732.32999999076</v>
      </c>
    </row>
    <row r="238" spans="1:12" ht="30" customHeight="1">
      <c r="A238" s="657" t="s">
        <v>44</v>
      </c>
      <c r="B238" s="273" t="s">
        <v>370</v>
      </c>
      <c r="C238" s="273" t="s">
        <v>470</v>
      </c>
      <c r="D238" s="188">
        <v>60100</v>
      </c>
      <c r="E238" s="196" t="s">
        <v>7</v>
      </c>
      <c r="F238" s="251"/>
      <c r="G238" s="242">
        <v>1000000</v>
      </c>
      <c r="H238" s="242"/>
      <c r="I238" s="242">
        <v>1000000</v>
      </c>
      <c r="J238" s="326"/>
      <c r="K238" s="614">
        <f t="shared" si="6"/>
        <v>1000000</v>
      </c>
      <c r="L238" s="614">
        <f t="shared" si="7"/>
        <v>1000000</v>
      </c>
    </row>
    <row r="239" spans="1:12" ht="30" customHeight="1">
      <c r="A239" s="657" t="s">
        <v>44</v>
      </c>
      <c r="B239" s="273" t="s">
        <v>370</v>
      </c>
      <c r="C239" s="273" t="s">
        <v>470</v>
      </c>
      <c r="D239" s="188">
        <v>6122</v>
      </c>
      <c r="E239" s="235" t="s">
        <v>582</v>
      </c>
      <c r="F239" s="251"/>
      <c r="G239" s="242">
        <v>1000000</v>
      </c>
      <c r="H239" s="242"/>
      <c r="I239" s="242">
        <v>1000000</v>
      </c>
      <c r="J239" s="326"/>
      <c r="K239" s="614">
        <f t="shared" si="6"/>
        <v>1000000</v>
      </c>
      <c r="L239" s="614">
        <f t="shared" si="7"/>
        <v>1000000</v>
      </c>
    </row>
    <row r="240" spans="1:12" ht="30" customHeight="1">
      <c r="A240" s="657" t="s">
        <v>44</v>
      </c>
      <c r="B240" s="273" t="s">
        <v>370</v>
      </c>
      <c r="C240" s="273" t="s">
        <v>470</v>
      </c>
      <c r="D240" s="188">
        <v>6173</v>
      </c>
      <c r="E240" s="196" t="s">
        <v>19</v>
      </c>
      <c r="F240" s="251"/>
      <c r="G240" s="242">
        <v>0</v>
      </c>
      <c r="H240" s="242"/>
      <c r="I240" s="242">
        <v>0</v>
      </c>
      <c r="J240" s="326"/>
      <c r="K240" s="614">
        <f t="shared" si="6"/>
        <v>0</v>
      </c>
      <c r="L240" s="614">
        <f t="shared" si="7"/>
        <v>0</v>
      </c>
    </row>
    <row r="241" spans="1:12" ht="30" customHeight="1">
      <c r="A241" s="657" t="s">
        <v>44</v>
      </c>
      <c r="B241" s="273" t="s">
        <v>370</v>
      </c>
      <c r="C241" s="273" t="s">
        <v>470</v>
      </c>
      <c r="D241" s="191">
        <v>6175</v>
      </c>
      <c r="E241" s="262" t="s">
        <v>49</v>
      </c>
      <c r="F241" s="263"/>
      <c r="G241" s="242"/>
      <c r="H241" s="242"/>
      <c r="I241" s="242"/>
      <c r="J241" s="326"/>
      <c r="K241" s="614">
        <f t="shared" si="6"/>
        <v>0</v>
      </c>
      <c r="L241" s="614">
        <f t="shared" si="7"/>
        <v>0</v>
      </c>
    </row>
    <row r="242" spans="1:12" ht="30" customHeight="1">
      <c r="A242" s="657" t="s">
        <v>44</v>
      </c>
      <c r="B242" s="273" t="s">
        <v>370</v>
      </c>
      <c r="C242" s="273" t="s">
        <v>470</v>
      </c>
      <c r="D242" s="268" t="s">
        <v>20</v>
      </c>
      <c r="E242" s="251"/>
      <c r="F242" s="98">
        <f>SUBTOTAL(109,F237:F241)</f>
        <v>11</v>
      </c>
      <c r="G242" s="98">
        <f>SUBTOTAL(109,G237:G241)</f>
        <v>27760660</v>
      </c>
      <c r="H242" s="98">
        <f>SUBTOTAL(109,H237:H241)</f>
        <v>25924392.32999999</v>
      </c>
      <c r="I242" s="98">
        <f>SUBTOTAL(109,I237:I241)</f>
        <v>27760660</v>
      </c>
      <c r="J242" s="326"/>
      <c r="K242" s="614">
        <f t="shared" si="6"/>
        <v>27760660</v>
      </c>
      <c r="L242" s="614">
        <f t="shared" si="7"/>
        <v>1836267.6700000092</v>
      </c>
    </row>
    <row r="243" spans="1:12" ht="30" customHeight="1">
      <c r="A243" s="657" t="s">
        <v>44</v>
      </c>
      <c r="B243" s="273" t="s">
        <v>371</v>
      </c>
      <c r="C243" s="273" t="s">
        <v>473</v>
      </c>
      <c r="D243" s="265" t="s">
        <v>54</v>
      </c>
      <c r="E243" s="251"/>
      <c r="F243" s="251"/>
      <c r="G243" s="242"/>
      <c r="H243" s="242"/>
      <c r="I243" s="242"/>
      <c r="J243" s="326"/>
      <c r="K243" s="614">
        <f t="shared" si="6"/>
        <v>0</v>
      </c>
      <c r="L243" s="614">
        <f t="shared" si="7"/>
        <v>0</v>
      </c>
    </row>
    <row r="244" spans="1:12" ht="30" customHeight="1">
      <c r="A244" s="657" t="s">
        <v>44</v>
      </c>
      <c r="B244" s="273" t="s">
        <v>371</v>
      </c>
      <c r="C244" s="273" t="s">
        <v>473</v>
      </c>
      <c r="D244" s="188">
        <v>60100</v>
      </c>
      <c r="E244" s="196" t="s">
        <v>7</v>
      </c>
      <c r="F244" s="251"/>
      <c r="G244" s="242">
        <v>1500000</v>
      </c>
      <c r="H244" s="242"/>
      <c r="I244" s="242">
        <v>1500000</v>
      </c>
      <c r="J244" s="326"/>
      <c r="K244" s="614">
        <f t="shared" si="6"/>
        <v>1500000</v>
      </c>
      <c r="L244" s="614">
        <f t="shared" si="7"/>
        <v>1500000</v>
      </c>
    </row>
    <row r="245" spans="1:12" ht="30" customHeight="1">
      <c r="A245" s="657" t="s">
        <v>44</v>
      </c>
      <c r="B245" s="273" t="s">
        <v>371</v>
      </c>
      <c r="C245" s="273" t="s">
        <v>473</v>
      </c>
      <c r="D245" s="188">
        <v>6122</v>
      </c>
      <c r="E245" s="235" t="s">
        <v>582</v>
      </c>
      <c r="F245" s="251"/>
      <c r="G245" s="242">
        <v>888300</v>
      </c>
      <c r="H245" s="242"/>
      <c r="I245" s="242">
        <v>888300</v>
      </c>
      <c r="J245" s="326"/>
      <c r="K245" s="614">
        <f t="shared" si="6"/>
        <v>888300</v>
      </c>
      <c r="L245" s="614">
        <f t="shared" si="7"/>
        <v>888300</v>
      </c>
    </row>
    <row r="246" spans="1:12" ht="30" customHeight="1">
      <c r="A246" s="657" t="s">
        <v>44</v>
      </c>
      <c r="B246" s="273" t="s">
        <v>371</v>
      </c>
      <c r="C246" s="273" t="s">
        <v>473</v>
      </c>
      <c r="D246" s="191">
        <v>6112</v>
      </c>
      <c r="E246" s="196" t="s">
        <v>12</v>
      </c>
      <c r="F246" s="251"/>
      <c r="G246" s="242"/>
      <c r="H246" s="242"/>
      <c r="I246" s="242"/>
      <c r="J246" s="326"/>
      <c r="K246" s="614">
        <f t="shared" si="6"/>
        <v>0</v>
      </c>
      <c r="L246" s="614">
        <f t="shared" si="7"/>
        <v>0</v>
      </c>
    </row>
    <row r="247" spans="1:12" ht="30" customHeight="1">
      <c r="A247" s="657" t="s">
        <v>44</v>
      </c>
      <c r="B247" s="273" t="s">
        <v>371</v>
      </c>
      <c r="C247" s="273" t="s">
        <v>473</v>
      </c>
      <c r="D247" s="268" t="s">
        <v>20</v>
      </c>
      <c r="E247" s="196"/>
      <c r="F247" s="251"/>
      <c r="G247" s="98">
        <f>SUBTOTAL(109,G244:G246)</f>
        <v>2388300</v>
      </c>
      <c r="H247" s="98">
        <f>SUBTOTAL(109,H244:H246)</f>
        <v>0</v>
      </c>
      <c r="I247" s="98">
        <f>SUBTOTAL(109,I244:I246)</f>
        <v>2388300</v>
      </c>
      <c r="J247" s="326"/>
      <c r="K247" s="614">
        <f t="shared" si="6"/>
        <v>2388300</v>
      </c>
      <c r="L247" s="614">
        <f t="shared" si="7"/>
        <v>2388300</v>
      </c>
    </row>
    <row r="248" spans="1:12" ht="30" customHeight="1">
      <c r="A248" s="657" t="s">
        <v>44</v>
      </c>
      <c r="B248" s="273" t="s">
        <v>372</v>
      </c>
      <c r="C248" s="273" t="s">
        <v>474</v>
      </c>
      <c r="D248" s="265" t="s">
        <v>55</v>
      </c>
      <c r="E248" s="251"/>
      <c r="F248" s="251"/>
      <c r="G248" s="242"/>
      <c r="H248" s="242"/>
      <c r="I248" s="242"/>
      <c r="J248" s="326"/>
      <c r="K248" s="614">
        <f t="shared" si="6"/>
        <v>0</v>
      </c>
      <c r="L248" s="614">
        <f t="shared" si="7"/>
        <v>0</v>
      </c>
    </row>
    <row r="249" spans="1:12" ht="30" customHeight="1">
      <c r="A249" s="657" t="s">
        <v>44</v>
      </c>
      <c r="B249" s="273" t="s">
        <v>372</v>
      </c>
      <c r="C249" s="273" t="s">
        <v>474</v>
      </c>
      <c r="D249" s="191">
        <v>6311</v>
      </c>
      <c r="E249" s="262" t="s">
        <v>271</v>
      </c>
      <c r="F249" s="263"/>
      <c r="G249" s="242">
        <v>60000000</v>
      </c>
      <c r="H249" s="242">
        <v>45000000</v>
      </c>
      <c r="I249" s="242">
        <v>60000000</v>
      </c>
      <c r="J249" s="326"/>
      <c r="K249" s="614">
        <f t="shared" si="6"/>
        <v>60000000</v>
      </c>
      <c r="L249" s="614">
        <f t="shared" si="7"/>
        <v>15000000</v>
      </c>
    </row>
    <row r="250" spans="1:12" ht="30" customHeight="1">
      <c r="A250" s="657" t="s">
        <v>44</v>
      </c>
      <c r="B250" s="273" t="s">
        <v>372</v>
      </c>
      <c r="C250" s="273" t="s">
        <v>474</v>
      </c>
      <c r="D250" s="191">
        <v>6313</v>
      </c>
      <c r="E250" s="262" t="s">
        <v>254</v>
      </c>
      <c r="F250" s="263"/>
      <c r="G250" s="242">
        <v>120000000</v>
      </c>
      <c r="H250" s="242">
        <v>90000000</v>
      </c>
      <c r="I250" s="242">
        <v>120000000</v>
      </c>
      <c r="J250" s="242"/>
      <c r="K250" s="614">
        <f t="shared" si="6"/>
        <v>120000000</v>
      </c>
      <c r="L250" s="614">
        <f t="shared" si="7"/>
        <v>30000000</v>
      </c>
    </row>
    <row r="251" spans="1:12" ht="30" customHeight="1">
      <c r="A251" s="657" t="s">
        <v>44</v>
      </c>
      <c r="B251" s="273" t="s">
        <v>372</v>
      </c>
      <c r="C251" s="273" t="s">
        <v>474</v>
      </c>
      <c r="D251" s="191">
        <v>6312</v>
      </c>
      <c r="E251" s="196" t="s">
        <v>270</v>
      </c>
      <c r="F251" s="251"/>
      <c r="G251" s="242">
        <v>558601296</v>
      </c>
      <c r="H251" s="242">
        <f>519478337</f>
        <v>519478337</v>
      </c>
      <c r="I251" s="242">
        <v>558601296</v>
      </c>
      <c r="J251" s="326"/>
      <c r="K251" s="614">
        <f t="shared" si="6"/>
        <v>558601296</v>
      </c>
      <c r="L251" s="614">
        <f t="shared" si="7"/>
        <v>39122959</v>
      </c>
    </row>
    <row r="252" spans="1:12" ht="30" customHeight="1">
      <c r="A252" s="656" t="s">
        <v>44</v>
      </c>
      <c r="B252" s="273" t="s">
        <v>372</v>
      </c>
      <c r="C252" s="273" t="s">
        <v>474</v>
      </c>
      <c r="D252" s="191">
        <v>2163</v>
      </c>
      <c r="E252" s="196" t="s">
        <v>656</v>
      </c>
      <c r="F252" s="226"/>
      <c r="G252" s="242">
        <v>600000000</v>
      </c>
      <c r="H252" s="267"/>
      <c r="I252" s="242">
        <v>600000000</v>
      </c>
      <c r="J252" s="326">
        <f>-600000000</f>
        <v>-600000000</v>
      </c>
      <c r="K252" s="614">
        <f t="shared" si="6"/>
        <v>0</v>
      </c>
      <c r="L252" s="614">
        <f t="shared" si="7"/>
        <v>0</v>
      </c>
    </row>
    <row r="253" spans="1:12" ht="30" customHeight="1">
      <c r="A253" s="657" t="s">
        <v>44</v>
      </c>
      <c r="B253" s="273" t="s">
        <v>372</v>
      </c>
      <c r="C253" s="273" t="s">
        <v>474</v>
      </c>
      <c r="D253" s="268" t="s">
        <v>20</v>
      </c>
      <c r="E253" s="251"/>
      <c r="F253" s="251"/>
      <c r="G253" s="98">
        <f>SUBTOTAL(109,G249:G252)</f>
        <v>1338601296</v>
      </c>
      <c r="H253" s="98">
        <f>SUBTOTAL(109,H249:H251)</f>
        <v>654478337</v>
      </c>
      <c r="I253" s="98">
        <f>SUBTOTAL(109,I249:I252)</f>
        <v>1338601296</v>
      </c>
      <c r="J253" s="581">
        <f>SUBTOTAL(109,J249:J252)</f>
        <v>-600000000</v>
      </c>
      <c r="K253" s="614">
        <f t="shared" si="6"/>
        <v>738601296</v>
      </c>
      <c r="L253" s="614">
        <f t="shared" si="7"/>
        <v>84122959</v>
      </c>
    </row>
    <row r="254" spans="1:12" ht="30" customHeight="1">
      <c r="A254" s="657" t="s">
        <v>44</v>
      </c>
      <c r="B254" s="273" t="s">
        <v>373</v>
      </c>
      <c r="C254" s="273" t="s">
        <v>474</v>
      </c>
      <c r="D254" s="265" t="s">
        <v>56</v>
      </c>
      <c r="E254" s="251"/>
      <c r="F254" s="251"/>
      <c r="G254" s="242"/>
      <c r="H254" s="242"/>
      <c r="I254" s="242"/>
      <c r="J254" s="581"/>
      <c r="K254" s="614">
        <f t="shared" si="6"/>
        <v>0</v>
      </c>
      <c r="L254" s="614">
        <f t="shared" si="7"/>
        <v>0</v>
      </c>
    </row>
    <row r="255" spans="1:12" ht="30" customHeight="1">
      <c r="A255" s="657" t="s">
        <v>44</v>
      </c>
      <c r="B255" s="273" t="s">
        <v>373</v>
      </c>
      <c r="C255" s="273" t="s">
        <v>474</v>
      </c>
      <c r="D255" s="191">
        <v>6311</v>
      </c>
      <c r="E255" s="262" t="s">
        <v>271</v>
      </c>
      <c r="F255" s="263"/>
      <c r="G255" s="242">
        <v>6000000</v>
      </c>
      <c r="H255" s="242"/>
      <c r="I255" s="242">
        <v>6000000</v>
      </c>
      <c r="J255" s="326"/>
      <c r="K255" s="614">
        <f t="shared" si="6"/>
        <v>6000000</v>
      </c>
      <c r="L255" s="614">
        <f t="shared" si="7"/>
        <v>6000000</v>
      </c>
    </row>
    <row r="256" spans="1:12" ht="30" customHeight="1">
      <c r="A256" s="657" t="s">
        <v>44</v>
      </c>
      <c r="B256" s="273" t="s">
        <v>373</v>
      </c>
      <c r="C256" s="273" t="s">
        <v>474</v>
      </c>
      <c r="D256" s="191">
        <v>6312</v>
      </c>
      <c r="E256" s="196" t="s">
        <v>272</v>
      </c>
      <c r="F256" s="251"/>
      <c r="G256" s="242">
        <v>295947144</v>
      </c>
      <c r="H256" s="242">
        <v>259791944.44</v>
      </c>
      <c r="I256" s="242">
        <v>295947144</v>
      </c>
      <c r="J256" s="326"/>
      <c r="K256" s="614">
        <f t="shared" si="6"/>
        <v>295947144</v>
      </c>
      <c r="L256" s="614">
        <f t="shared" si="7"/>
        <v>36155199.56</v>
      </c>
    </row>
    <row r="257" spans="1:12" ht="30" customHeight="1">
      <c r="A257" s="657" t="s">
        <v>44</v>
      </c>
      <c r="B257" s="273" t="s">
        <v>373</v>
      </c>
      <c r="C257" s="273" t="s">
        <v>474</v>
      </c>
      <c r="D257" s="268" t="s">
        <v>20</v>
      </c>
      <c r="E257" s="251"/>
      <c r="F257" s="251"/>
      <c r="G257" s="98">
        <f>SUBTOTAL(109,G255:G256)</f>
        <v>301947144</v>
      </c>
      <c r="H257" s="98">
        <f>SUBTOTAL(109,H255:H256)</f>
        <v>259791944.44</v>
      </c>
      <c r="I257" s="98">
        <f>SUBTOTAL(109,I255:I256)</f>
        <v>301947144</v>
      </c>
      <c r="J257" s="581">
        <f>SUBTOTAL(109,J255:J256)</f>
        <v>0</v>
      </c>
      <c r="K257" s="614">
        <f t="shared" si="6"/>
        <v>301947144</v>
      </c>
      <c r="L257" s="614">
        <f t="shared" si="7"/>
        <v>42155199.56</v>
      </c>
    </row>
    <row r="258" spans="1:12" ht="30" customHeight="1">
      <c r="A258" s="657" t="s">
        <v>44</v>
      </c>
      <c r="B258" s="273" t="s">
        <v>374</v>
      </c>
      <c r="C258" s="273" t="s">
        <v>474</v>
      </c>
      <c r="D258" s="265" t="s">
        <v>57</v>
      </c>
      <c r="E258" s="251"/>
      <c r="F258" s="251"/>
      <c r="G258" s="242"/>
      <c r="H258" s="242"/>
      <c r="I258" s="242"/>
      <c r="J258" s="98"/>
      <c r="K258" s="614">
        <f t="shared" si="6"/>
        <v>0</v>
      </c>
      <c r="L258" s="614">
        <f t="shared" si="7"/>
        <v>0</v>
      </c>
    </row>
    <row r="259" spans="1:12" ht="30" customHeight="1">
      <c r="A259" s="657" t="s">
        <v>44</v>
      </c>
      <c r="B259" s="273" t="s">
        <v>374</v>
      </c>
      <c r="C259" s="273" t="s">
        <v>474</v>
      </c>
      <c r="D259" s="191">
        <v>6311</v>
      </c>
      <c r="E259" s="262" t="s">
        <v>271</v>
      </c>
      <c r="F259" s="263"/>
      <c r="G259" s="242">
        <v>5000000</v>
      </c>
      <c r="H259" s="242"/>
      <c r="I259" s="242">
        <v>5000000</v>
      </c>
      <c r="J259" s="326"/>
      <c r="K259" s="614">
        <f t="shared" si="6"/>
        <v>5000000</v>
      </c>
      <c r="L259" s="614">
        <f t="shared" si="7"/>
        <v>5000000</v>
      </c>
    </row>
    <row r="260" spans="1:12" ht="30" customHeight="1">
      <c r="A260" s="657" t="s">
        <v>44</v>
      </c>
      <c r="B260" s="273" t="s">
        <v>374</v>
      </c>
      <c r="C260" s="273" t="s">
        <v>474</v>
      </c>
      <c r="D260" s="191">
        <v>6312</v>
      </c>
      <c r="E260" s="196" t="s">
        <v>272</v>
      </c>
      <c r="F260" s="251"/>
      <c r="G260" s="242">
        <v>128216772</v>
      </c>
      <c r="H260" s="242">
        <v>106447970.88000001</v>
      </c>
      <c r="I260" s="242">
        <v>128216772</v>
      </c>
      <c r="J260" s="326"/>
      <c r="K260" s="614">
        <f t="shared" si="6"/>
        <v>128216772</v>
      </c>
      <c r="L260" s="614">
        <f t="shared" si="7"/>
        <v>21768801.11999999</v>
      </c>
    </row>
    <row r="261" spans="1:12" ht="30" customHeight="1">
      <c r="A261" s="657" t="s">
        <v>44</v>
      </c>
      <c r="B261" s="273" t="s">
        <v>374</v>
      </c>
      <c r="C261" s="273" t="s">
        <v>474</v>
      </c>
      <c r="D261" s="268" t="s">
        <v>20</v>
      </c>
      <c r="E261" s="251"/>
      <c r="F261" s="251"/>
      <c r="G261" s="98">
        <f>SUBTOTAL(109,G259:G260)</f>
        <v>133216772</v>
      </c>
      <c r="H261" s="98">
        <f>SUBTOTAL(109,H259:H260)</f>
        <v>106447970.88000001</v>
      </c>
      <c r="I261" s="98">
        <f>SUBTOTAL(109,I259:I260)</f>
        <v>133216772</v>
      </c>
      <c r="J261" s="581">
        <f>SUBTOTAL(109,J259:J260)</f>
        <v>0</v>
      </c>
      <c r="K261" s="614">
        <f t="shared" si="6"/>
        <v>133216772</v>
      </c>
      <c r="L261" s="614">
        <f t="shared" si="7"/>
        <v>26768801.11999999</v>
      </c>
    </row>
    <row r="262" spans="1:12" ht="30" customHeight="1">
      <c r="A262" s="657" t="s">
        <v>44</v>
      </c>
      <c r="B262" s="273" t="s">
        <v>375</v>
      </c>
      <c r="C262" s="273" t="s">
        <v>474</v>
      </c>
      <c r="D262" s="255" t="s">
        <v>289</v>
      </c>
      <c r="E262" s="226"/>
      <c r="F262" s="226"/>
      <c r="G262" s="98"/>
      <c r="H262" s="267"/>
      <c r="I262" s="267"/>
      <c r="J262" s="581"/>
      <c r="K262" s="614">
        <f aca="true" t="shared" si="8" ref="K262:K325">I262+J262</f>
        <v>0</v>
      </c>
      <c r="L262" s="614">
        <f t="shared" si="7"/>
        <v>0</v>
      </c>
    </row>
    <row r="263" spans="1:12" ht="30" customHeight="1">
      <c r="A263" s="657" t="s">
        <v>44</v>
      </c>
      <c r="B263" s="273" t="s">
        <v>375</v>
      </c>
      <c r="C263" s="273" t="s">
        <v>474</v>
      </c>
      <c r="D263" s="191">
        <v>6311</v>
      </c>
      <c r="E263" s="262" t="s">
        <v>271</v>
      </c>
      <c r="F263" s="226"/>
      <c r="G263" s="98">
        <v>6000000</v>
      </c>
      <c r="H263" s="267"/>
      <c r="I263" s="242">
        <v>6000000</v>
      </c>
      <c r="J263" s="326"/>
      <c r="K263" s="614">
        <f t="shared" si="8"/>
        <v>6000000</v>
      </c>
      <c r="L263" s="614">
        <f aca="true" t="shared" si="9" ref="L263:L326">K263-H263</f>
        <v>6000000</v>
      </c>
    </row>
    <row r="264" spans="1:12" ht="30" customHeight="1">
      <c r="A264" s="657" t="s">
        <v>44</v>
      </c>
      <c r="B264" s="273" t="s">
        <v>375</v>
      </c>
      <c r="C264" s="273" t="s">
        <v>474</v>
      </c>
      <c r="D264" s="191">
        <v>6312</v>
      </c>
      <c r="E264" s="196" t="s">
        <v>272</v>
      </c>
      <c r="F264" s="226"/>
      <c r="G264" s="98"/>
      <c r="H264" s="242">
        <v>2194133.7199999997</v>
      </c>
      <c r="I264" s="267"/>
      <c r="J264" s="326"/>
      <c r="K264" s="614">
        <f t="shared" si="8"/>
        <v>0</v>
      </c>
      <c r="L264" s="614">
        <f t="shared" si="9"/>
        <v>-2194133.7199999997</v>
      </c>
    </row>
    <row r="265" spans="1:12" ht="30" customHeight="1">
      <c r="A265" s="657" t="s">
        <v>44</v>
      </c>
      <c r="B265" s="273" t="s">
        <v>375</v>
      </c>
      <c r="C265" s="273" t="s">
        <v>474</v>
      </c>
      <c r="D265" s="268" t="s">
        <v>20</v>
      </c>
      <c r="E265" s="226"/>
      <c r="F265" s="226"/>
      <c r="G265" s="98">
        <f>SUM(G263:G264)</f>
        <v>6000000</v>
      </c>
      <c r="H265" s="98">
        <f>SUM(H263:H264)</f>
        <v>2194133.7199999997</v>
      </c>
      <c r="I265" s="98">
        <f>SUM(I263:I264)</f>
        <v>6000000</v>
      </c>
      <c r="J265" s="581">
        <f>SUM(J263:J264)</f>
        <v>0</v>
      </c>
      <c r="K265" s="614">
        <f t="shared" si="8"/>
        <v>6000000</v>
      </c>
      <c r="L265" s="614">
        <f t="shared" si="9"/>
        <v>3805866.2800000003</v>
      </c>
    </row>
    <row r="266" spans="1:12" ht="30" customHeight="1">
      <c r="A266" s="657" t="s">
        <v>44</v>
      </c>
      <c r="B266" s="273" t="s">
        <v>376</v>
      </c>
      <c r="C266" s="273" t="s">
        <v>474</v>
      </c>
      <c r="D266" s="255" t="s">
        <v>290</v>
      </c>
      <c r="E266" s="226"/>
      <c r="F266" s="226"/>
      <c r="G266" s="98"/>
      <c r="H266" s="267"/>
      <c r="I266" s="267"/>
      <c r="J266" s="326"/>
      <c r="K266" s="614">
        <f t="shared" si="8"/>
        <v>0</v>
      </c>
      <c r="L266" s="614">
        <f t="shared" si="9"/>
        <v>0</v>
      </c>
    </row>
    <row r="267" spans="1:12" ht="30" customHeight="1">
      <c r="A267" s="657" t="s">
        <v>44</v>
      </c>
      <c r="B267" s="273" t="s">
        <v>376</v>
      </c>
      <c r="C267" s="273" t="s">
        <v>474</v>
      </c>
      <c r="D267" s="191">
        <v>6311</v>
      </c>
      <c r="E267" s="262" t="s">
        <v>318</v>
      </c>
      <c r="F267" s="226"/>
      <c r="G267" s="242">
        <v>3000000</v>
      </c>
      <c r="H267" s="242">
        <v>1500000</v>
      </c>
      <c r="I267" s="242">
        <v>3000000</v>
      </c>
      <c r="J267" s="326"/>
      <c r="K267" s="614">
        <f t="shared" si="8"/>
        <v>3000000</v>
      </c>
      <c r="L267" s="614">
        <f t="shared" si="9"/>
        <v>1500000</v>
      </c>
    </row>
    <row r="268" spans="1:12" ht="30" customHeight="1">
      <c r="A268" s="657" t="s">
        <v>44</v>
      </c>
      <c r="B268" s="273" t="s">
        <v>376</v>
      </c>
      <c r="C268" s="273" t="s">
        <v>474</v>
      </c>
      <c r="D268" s="191">
        <v>6312</v>
      </c>
      <c r="E268" s="196" t="s">
        <v>319</v>
      </c>
      <c r="F268" s="226"/>
      <c r="G268" s="98"/>
      <c r="H268" s="242">
        <v>8367566.02</v>
      </c>
      <c r="I268" s="267"/>
      <c r="J268" s="581"/>
      <c r="K268" s="614">
        <f t="shared" si="8"/>
        <v>0</v>
      </c>
      <c r="L268" s="614">
        <f t="shared" si="9"/>
        <v>-8367566.02</v>
      </c>
    </row>
    <row r="269" spans="1:12" ht="30" customHeight="1">
      <c r="A269" s="657" t="s">
        <v>44</v>
      </c>
      <c r="B269" s="273" t="s">
        <v>376</v>
      </c>
      <c r="C269" s="273" t="s">
        <v>474</v>
      </c>
      <c r="D269" s="268" t="s">
        <v>20</v>
      </c>
      <c r="E269" s="226"/>
      <c r="F269" s="226"/>
      <c r="G269" s="98">
        <f>SUM(G267:G268)</f>
        <v>3000000</v>
      </c>
      <c r="H269" s="98">
        <f>SUM(H267:H268)</f>
        <v>9867566.02</v>
      </c>
      <c r="I269" s="98">
        <f>SUM(I267:I268)</f>
        <v>3000000</v>
      </c>
      <c r="J269" s="581">
        <f>SUM(J267:J268)</f>
        <v>0</v>
      </c>
      <c r="K269" s="614">
        <f t="shared" si="8"/>
        <v>3000000</v>
      </c>
      <c r="L269" s="614">
        <f t="shared" si="9"/>
        <v>-6867566.02</v>
      </c>
    </row>
    <row r="270" spans="1:12" ht="30" customHeight="1">
      <c r="A270" s="657" t="s">
        <v>44</v>
      </c>
      <c r="B270" s="273" t="s">
        <v>377</v>
      </c>
      <c r="C270" s="273" t="s">
        <v>473</v>
      </c>
      <c r="D270" s="265" t="s">
        <v>58</v>
      </c>
      <c r="E270" s="251"/>
      <c r="F270" s="251"/>
      <c r="G270" s="242"/>
      <c r="H270" s="242"/>
      <c r="I270" s="242"/>
      <c r="J270" s="326"/>
      <c r="K270" s="614">
        <f t="shared" si="8"/>
        <v>0</v>
      </c>
      <c r="L270" s="614">
        <f t="shared" si="9"/>
        <v>0</v>
      </c>
    </row>
    <row r="271" spans="1:12" ht="30" customHeight="1">
      <c r="A271" s="657" t="s">
        <v>44</v>
      </c>
      <c r="B271" s="273" t="s">
        <v>377</v>
      </c>
      <c r="C271" s="273" t="s">
        <v>473</v>
      </c>
      <c r="D271" s="191">
        <v>6312</v>
      </c>
      <c r="E271" s="196" t="s">
        <v>273</v>
      </c>
      <c r="F271" s="251"/>
      <c r="G271" s="242">
        <v>35000000</v>
      </c>
      <c r="H271" s="242"/>
      <c r="I271" s="242">
        <v>35000000</v>
      </c>
      <c r="J271" s="581"/>
      <c r="K271" s="614">
        <f t="shared" si="8"/>
        <v>35000000</v>
      </c>
      <c r="L271" s="614">
        <f t="shared" si="9"/>
        <v>35000000</v>
      </c>
    </row>
    <row r="272" spans="1:12" ht="30" customHeight="1">
      <c r="A272" s="657" t="s">
        <v>44</v>
      </c>
      <c r="B272" s="273" t="s">
        <v>377</v>
      </c>
      <c r="C272" s="273" t="s">
        <v>473</v>
      </c>
      <c r="D272" s="268" t="s">
        <v>20</v>
      </c>
      <c r="E272" s="251"/>
      <c r="F272" s="251"/>
      <c r="G272" s="98">
        <f>SUBTOTAL(109,G271:G271)</f>
        <v>35000000</v>
      </c>
      <c r="H272" s="98">
        <f>SUBTOTAL(109,H271:H271)</f>
        <v>0</v>
      </c>
      <c r="I272" s="98">
        <f>SUBTOTAL(109,I271:I271)</f>
        <v>35000000</v>
      </c>
      <c r="J272" s="326"/>
      <c r="K272" s="614">
        <f t="shared" si="8"/>
        <v>35000000</v>
      </c>
      <c r="L272" s="614">
        <f t="shared" si="9"/>
        <v>35000000</v>
      </c>
    </row>
    <row r="273" spans="1:12" ht="30" customHeight="1">
      <c r="A273" s="657" t="s">
        <v>44</v>
      </c>
      <c r="B273" s="273" t="s">
        <v>378</v>
      </c>
      <c r="C273" s="273" t="s">
        <v>473</v>
      </c>
      <c r="D273" s="269" t="s">
        <v>59</v>
      </c>
      <c r="E273" s="251"/>
      <c r="F273" s="251"/>
      <c r="G273" s="242"/>
      <c r="H273" s="242"/>
      <c r="I273" s="242"/>
      <c r="J273" s="326"/>
      <c r="K273" s="614">
        <f t="shared" si="8"/>
        <v>0</v>
      </c>
      <c r="L273" s="614">
        <f t="shared" si="9"/>
        <v>0</v>
      </c>
    </row>
    <row r="274" spans="1:12" ht="30" customHeight="1">
      <c r="A274" s="657" t="s">
        <v>44</v>
      </c>
      <c r="B274" s="273" t="s">
        <v>378</v>
      </c>
      <c r="C274" s="273" t="s">
        <v>473</v>
      </c>
      <c r="D274" s="191">
        <v>6312</v>
      </c>
      <c r="E274" s="196" t="s">
        <v>270</v>
      </c>
      <c r="F274" s="251"/>
      <c r="G274" s="242">
        <v>20000000</v>
      </c>
      <c r="H274" s="242">
        <v>10000000</v>
      </c>
      <c r="I274" s="242">
        <v>20000000</v>
      </c>
      <c r="J274" s="326"/>
      <c r="K274" s="614">
        <f t="shared" si="8"/>
        <v>20000000</v>
      </c>
      <c r="L274" s="614">
        <f t="shared" si="9"/>
        <v>10000000</v>
      </c>
    </row>
    <row r="275" spans="1:12" ht="30" customHeight="1">
      <c r="A275" s="657" t="s">
        <v>44</v>
      </c>
      <c r="B275" s="273" t="s">
        <v>378</v>
      </c>
      <c r="C275" s="273" t="s">
        <v>473</v>
      </c>
      <c r="D275" s="268" t="s">
        <v>20</v>
      </c>
      <c r="E275" s="251"/>
      <c r="F275" s="251"/>
      <c r="G275" s="98">
        <f>SUBTOTAL(109,G274:G274)</f>
        <v>20000000</v>
      </c>
      <c r="H275" s="98">
        <f>SUBTOTAL(109,H274:H274)</f>
        <v>10000000</v>
      </c>
      <c r="I275" s="98">
        <f>SUBTOTAL(109,I274:I274)</f>
        <v>20000000</v>
      </c>
      <c r="J275" s="326"/>
      <c r="K275" s="614">
        <f t="shared" si="8"/>
        <v>20000000</v>
      </c>
      <c r="L275" s="614">
        <f t="shared" si="9"/>
        <v>10000000</v>
      </c>
    </row>
    <row r="276" spans="1:12" ht="30" customHeight="1">
      <c r="A276" s="657" t="s">
        <v>44</v>
      </c>
      <c r="B276" s="273" t="s">
        <v>379</v>
      </c>
      <c r="C276" s="273" t="s">
        <v>473</v>
      </c>
      <c r="D276" s="269" t="s">
        <v>60</v>
      </c>
      <c r="E276" s="251"/>
      <c r="F276" s="251"/>
      <c r="G276" s="242"/>
      <c r="H276" s="242"/>
      <c r="I276" s="242"/>
      <c r="J276" s="326"/>
      <c r="K276" s="614">
        <f t="shared" si="8"/>
        <v>0</v>
      </c>
      <c r="L276" s="614">
        <f t="shared" si="9"/>
        <v>0</v>
      </c>
    </row>
    <row r="277" spans="1:12" ht="30" customHeight="1">
      <c r="A277" s="657" t="s">
        <v>44</v>
      </c>
      <c r="B277" s="273" t="s">
        <v>379</v>
      </c>
      <c r="C277" s="273" t="s">
        <v>473</v>
      </c>
      <c r="D277" s="191">
        <v>6312</v>
      </c>
      <c r="E277" s="196" t="s">
        <v>270</v>
      </c>
      <c r="F277" s="251"/>
      <c r="G277" s="242">
        <v>5833640</v>
      </c>
      <c r="H277" s="242"/>
      <c r="I277" s="242">
        <v>5833640</v>
      </c>
      <c r="J277" s="326"/>
      <c r="K277" s="614">
        <f t="shared" si="8"/>
        <v>5833640</v>
      </c>
      <c r="L277" s="614">
        <f t="shared" si="9"/>
        <v>5833640</v>
      </c>
    </row>
    <row r="278" spans="1:22" ht="30" customHeight="1">
      <c r="A278" s="657" t="s">
        <v>44</v>
      </c>
      <c r="B278" s="273" t="s">
        <v>379</v>
      </c>
      <c r="C278" s="273" t="s">
        <v>473</v>
      </c>
      <c r="D278" s="268" t="s">
        <v>20</v>
      </c>
      <c r="E278" s="251"/>
      <c r="F278" s="251"/>
      <c r="G278" s="98">
        <f>SUBTOTAL(109,G277:G277)</f>
        <v>5833640</v>
      </c>
      <c r="H278" s="98">
        <f>SUBTOTAL(109,H277:H277)</f>
        <v>0</v>
      </c>
      <c r="I278" s="98">
        <f>SUBTOTAL(109,I277:I277)</f>
        <v>5833640</v>
      </c>
      <c r="J278" s="326"/>
      <c r="K278" s="614">
        <f t="shared" si="8"/>
        <v>5833640</v>
      </c>
      <c r="L278" s="614">
        <f t="shared" si="9"/>
        <v>5833640</v>
      </c>
      <c r="V278" s="571" t="s">
        <v>293</v>
      </c>
    </row>
    <row r="279" spans="1:12" ht="30" customHeight="1">
      <c r="A279" s="657" t="s">
        <v>44</v>
      </c>
      <c r="B279" s="273" t="s">
        <v>380</v>
      </c>
      <c r="C279" s="273" t="s">
        <v>473</v>
      </c>
      <c r="D279" s="269" t="s">
        <v>61</v>
      </c>
      <c r="E279" s="251"/>
      <c r="F279" s="251"/>
      <c r="G279" s="242"/>
      <c r="H279" s="242"/>
      <c r="I279" s="242"/>
      <c r="J279" s="326"/>
      <c r="K279" s="614">
        <f t="shared" si="8"/>
        <v>0</v>
      </c>
      <c r="L279" s="614">
        <f t="shared" si="9"/>
        <v>0</v>
      </c>
    </row>
    <row r="280" spans="1:12" ht="30" customHeight="1">
      <c r="A280" s="657" t="s">
        <v>44</v>
      </c>
      <c r="B280" s="273" t="s">
        <v>380</v>
      </c>
      <c r="C280" s="273" t="s">
        <v>473</v>
      </c>
      <c r="D280" s="191">
        <v>6312</v>
      </c>
      <c r="E280" s="196" t="s">
        <v>270</v>
      </c>
      <c r="F280" s="251"/>
      <c r="G280" s="242">
        <v>20000000</v>
      </c>
      <c r="H280" s="242">
        <v>10000000</v>
      </c>
      <c r="I280" s="242">
        <v>20000000</v>
      </c>
      <c r="J280" s="326"/>
      <c r="K280" s="614">
        <f t="shared" si="8"/>
        <v>20000000</v>
      </c>
      <c r="L280" s="614">
        <f t="shared" si="9"/>
        <v>10000000</v>
      </c>
    </row>
    <row r="281" spans="1:12" ht="30" customHeight="1">
      <c r="A281" s="657" t="s">
        <v>44</v>
      </c>
      <c r="B281" s="273" t="s">
        <v>380</v>
      </c>
      <c r="C281" s="273" t="s">
        <v>473</v>
      </c>
      <c r="D281" s="268" t="s">
        <v>20</v>
      </c>
      <c r="E281" s="251"/>
      <c r="F281" s="251"/>
      <c r="G281" s="98">
        <f>SUBTOTAL(109,G280:G280)</f>
        <v>20000000</v>
      </c>
      <c r="H281" s="98">
        <f>SUBTOTAL(109,H280:H280)</f>
        <v>10000000</v>
      </c>
      <c r="I281" s="98">
        <f>SUBTOTAL(109,I280:I280)</f>
        <v>20000000</v>
      </c>
      <c r="J281" s="315"/>
      <c r="K281" s="614">
        <f t="shared" si="8"/>
        <v>20000000</v>
      </c>
      <c r="L281" s="614">
        <f t="shared" si="9"/>
        <v>10000000</v>
      </c>
    </row>
    <row r="282" spans="1:12" ht="30" customHeight="1">
      <c r="A282" s="656" t="s">
        <v>44</v>
      </c>
      <c r="B282" s="273" t="s">
        <v>381</v>
      </c>
      <c r="C282" s="273" t="s">
        <v>473</v>
      </c>
      <c r="D282" s="195" t="s">
        <v>291</v>
      </c>
      <c r="E282" s="226"/>
      <c r="F282" s="226"/>
      <c r="G282" s="98"/>
      <c r="H282" s="267"/>
      <c r="I282" s="267"/>
      <c r="J282" s="315"/>
      <c r="K282" s="614">
        <f t="shared" si="8"/>
        <v>0</v>
      </c>
      <c r="L282" s="614">
        <f t="shared" si="9"/>
        <v>0</v>
      </c>
    </row>
    <row r="283" spans="1:12" ht="30" customHeight="1">
      <c r="A283" s="657" t="s">
        <v>44</v>
      </c>
      <c r="B283" s="273" t="s">
        <v>381</v>
      </c>
      <c r="C283" s="273" t="s">
        <v>473</v>
      </c>
      <c r="D283" s="191">
        <v>6312</v>
      </c>
      <c r="E283" s="196" t="s">
        <v>270</v>
      </c>
      <c r="F283" s="226"/>
      <c r="G283" s="98">
        <v>20000000</v>
      </c>
      <c r="H283" s="242">
        <v>10000000</v>
      </c>
      <c r="I283" s="242">
        <v>20000000</v>
      </c>
      <c r="J283" s="315"/>
      <c r="K283" s="614">
        <f t="shared" si="8"/>
        <v>20000000</v>
      </c>
      <c r="L283" s="614">
        <f t="shared" si="9"/>
        <v>10000000</v>
      </c>
    </row>
    <row r="284" spans="1:12" ht="30" customHeight="1">
      <c r="A284" s="657" t="s">
        <v>44</v>
      </c>
      <c r="B284" s="273" t="s">
        <v>381</v>
      </c>
      <c r="C284" s="273" t="s">
        <v>473</v>
      </c>
      <c r="D284" s="268" t="s">
        <v>20</v>
      </c>
      <c r="E284" s="226"/>
      <c r="F284" s="226"/>
      <c r="G284" s="98">
        <f>SUBTOTAL(109,G283:G283)</f>
        <v>20000000</v>
      </c>
      <c r="H284" s="98">
        <f>SUBTOTAL(109,H283:H283)</f>
        <v>10000000</v>
      </c>
      <c r="I284" s="98">
        <f>SUBTOTAL(109,I283:I283)</f>
        <v>20000000</v>
      </c>
      <c r="J284" s="98"/>
      <c r="K284" s="614">
        <f t="shared" si="8"/>
        <v>20000000</v>
      </c>
      <c r="L284" s="614">
        <f t="shared" si="9"/>
        <v>10000000</v>
      </c>
    </row>
    <row r="285" spans="1:12" ht="30" customHeight="1">
      <c r="A285" s="657" t="s">
        <v>44</v>
      </c>
      <c r="B285" s="273" t="s">
        <v>382</v>
      </c>
      <c r="C285" s="273" t="s">
        <v>470</v>
      </c>
      <c r="D285" s="269" t="s">
        <v>62</v>
      </c>
      <c r="E285" s="251"/>
      <c r="F285" s="251"/>
      <c r="G285" s="242"/>
      <c r="H285" s="242"/>
      <c r="I285" s="242"/>
      <c r="J285" s="326"/>
      <c r="K285" s="614">
        <f t="shared" si="8"/>
        <v>0</v>
      </c>
      <c r="L285" s="614">
        <f t="shared" si="9"/>
        <v>0</v>
      </c>
    </row>
    <row r="286" spans="1:12" ht="30" customHeight="1">
      <c r="A286" s="657" t="s">
        <v>44</v>
      </c>
      <c r="B286" s="273" t="s">
        <v>382</v>
      </c>
      <c r="C286" s="273" t="s">
        <v>470</v>
      </c>
      <c r="D286" s="191">
        <v>2123</v>
      </c>
      <c r="E286" s="270" t="s">
        <v>619</v>
      </c>
      <c r="F286" s="256"/>
      <c r="G286" s="242">
        <v>150000000</v>
      </c>
      <c r="H286" s="242">
        <v>8907000</v>
      </c>
      <c r="I286" s="242">
        <v>150000000</v>
      </c>
      <c r="J286" s="326"/>
      <c r="K286" s="614">
        <f t="shared" si="8"/>
        <v>150000000</v>
      </c>
      <c r="L286" s="614">
        <f t="shared" si="9"/>
        <v>141093000</v>
      </c>
    </row>
    <row r="287" spans="1:12" ht="30" customHeight="1">
      <c r="A287" s="657" t="s">
        <v>44</v>
      </c>
      <c r="B287" s="273" t="s">
        <v>382</v>
      </c>
      <c r="C287" s="273" t="s">
        <v>470</v>
      </c>
      <c r="D287" s="268" t="s">
        <v>20</v>
      </c>
      <c r="E287" s="251"/>
      <c r="F287" s="251"/>
      <c r="G287" s="98">
        <f>SUBTOTAL(109,G286:G286)</f>
        <v>150000000</v>
      </c>
      <c r="H287" s="98">
        <f>SUBTOTAL(109,H286:H286)</f>
        <v>8907000</v>
      </c>
      <c r="I287" s="98">
        <f>SUBTOTAL(109,I286:I286)</f>
        <v>150000000</v>
      </c>
      <c r="J287" s="326"/>
      <c r="K287" s="614">
        <f t="shared" si="8"/>
        <v>150000000</v>
      </c>
      <c r="L287" s="614">
        <f t="shared" si="9"/>
        <v>141093000</v>
      </c>
    </row>
    <row r="288" spans="1:12" ht="30" customHeight="1">
      <c r="A288" s="657" t="s">
        <v>44</v>
      </c>
      <c r="B288" s="273" t="s">
        <v>687</v>
      </c>
      <c r="C288" s="273" t="s">
        <v>409</v>
      </c>
      <c r="D288" s="245" t="s">
        <v>689</v>
      </c>
      <c r="E288" s="226"/>
      <c r="F288" s="226"/>
      <c r="G288" s="98"/>
      <c r="H288" s="267"/>
      <c r="I288" s="98"/>
      <c r="J288" s="326"/>
      <c r="K288" s="614">
        <f t="shared" si="8"/>
        <v>0</v>
      </c>
      <c r="L288" s="614">
        <f t="shared" si="9"/>
        <v>0</v>
      </c>
    </row>
    <row r="289" spans="1:12" ht="30" customHeight="1">
      <c r="A289" s="657" t="s">
        <v>44</v>
      </c>
      <c r="B289" s="273" t="s">
        <v>687</v>
      </c>
      <c r="C289" s="273" t="s">
        <v>409</v>
      </c>
      <c r="D289" s="191">
        <v>6311</v>
      </c>
      <c r="E289" s="262" t="s">
        <v>271</v>
      </c>
      <c r="F289" s="226"/>
      <c r="G289" s="98"/>
      <c r="H289" s="267"/>
      <c r="I289" s="242">
        <v>5000000</v>
      </c>
      <c r="J289" s="326"/>
      <c r="K289" s="614">
        <f t="shared" si="8"/>
        <v>5000000</v>
      </c>
      <c r="L289" s="614">
        <f t="shared" si="9"/>
        <v>5000000</v>
      </c>
    </row>
    <row r="290" spans="1:12" ht="30" customHeight="1">
      <c r="A290" s="657" t="s">
        <v>44</v>
      </c>
      <c r="B290" s="273" t="s">
        <v>687</v>
      </c>
      <c r="C290" s="273" t="s">
        <v>409</v>
      </c>
      <c r="D290" s="268" t="s">
        <v>20</v>
      </c>
      <c r="E290" s="226"/>
      <c r="F290" s="226"/>
      <c r="G290" s="98">
        <f>SUM(G289)</f>
        <v>0</v>
      </c>
      <c r="H290" s="98">
        <f>SUM(H289)</f>
        <v>0</v>
      </c>
      <c r="I290" s="98">
        <f>SUM(I289)</f>
        <v>5000000</v>
      </c>
      <c r="J290" s="326"/>
      <c r="K290" s="614">
        <f t="shared" si="8"/>
        <v>5000000</v>
      </c>
      <c r="L290" s="614">
        <f t="shared" si="9"/>
        <v>5000000</v>
      </c>
    </row>
    <row r="291" spans="1:12" ht="30" customHeight="1">
      <c r="A291" s="657" t="s">
        <v>44</v>
      </c>
      <c r="B291" s="333" t="s">
        <v>72</v>
      </c>
      <c r="C291" s="335"/>
      <c r="D291" s="191"/>
      <c r="E291" s="251"/>
      <c r="F291" s="98">
        <f>F287+F284+F281+F278+F275+F269+F265+F272+F261+F257+F253+F247+F242+F235+F229+F223+F217+F210+F203</f>
        <v>177</v>
      </c>
      <c r="G291" s="98">
        <f>G287+G284+G281+G278+G275+G269+G265+G272+G261+G257+G253+G247+G242+G235+G229+G223+G217+G210+G203+G290</f>
        <v>2405559481.3</v>
      </c>
      <c r="H291" s="98">
        <f>H287+H284+H281+H278+H275+H269+H265+H272+H261+H257+H253+H247+H242+H235+H229+H223+H217+H210+H203+H290</f>
        <v>1424923411.7699997</v>
      </c>
      <c r="I291" s="98">
        <f>I287+I284+I281+I278+I275+I269+I265+I272+I261+I257+I253+I247+I242+I235+I229+I223+I217+I210+I203+I290</f>
        <v>2410559481.3</v>
      </c>
      <c r="J291" s="581">
        <f>J287+J284+J281+J278+J275+J269+J265+J272+J261+J257+J253+J247+J242+J235+J229+J223+J217+J210+J203+J290</f>
        <v>-600000000</v>
      </c>
      <c r="K291" s="614">
        <f t="shared" si="8"/>
        <v>1810559481.3000002</v>
      </c>
      <c r="L291" s="614">
        <f t="shared" si="9"/>
        <v>385636069.53000045</v>
      </c>
    </row>
    <row r="292" spans="1:12" ht="30" customHeight="1">
      <c r="A292" s="241" t="s">
        <v>64</v>
      </c>
      <c r="B292" s="244" t="s">
        <v>539</v>
      </c>
      <c r="C292" s="244"/>
      <c r="D292" s="188"/>
      <c r="E292" s="226"/>
      <c r="F292" s="226"/>
      <c r="G292" s="242"/>
      <c r="H292" s="242"/>
      <c r="I292" s="242"/>
      <c r="J292" s="326"/>
      <c r="K292" s="614">
        <f t="shared" si="8"/>
        <v>0</v>
      </c>
      <c r="L292" s="614">
        <f t="shared" si="9"/>
        <v>0</v>
      </c>
    </row>
    <row r="293" spans="1:12" ht="30" customHeight="1">
      <c r="A293" s="241" t="s">
        <v>64</v>
      </c>
      <c r="B293" s="273" t="s">
        <v>383</v>
      </c>
      <c r="C293" s="273" t="s">
        <v>459</v>
      </c>
      <c r="D293" s="195" t="s">
        <v>65</v>
      </c>
      <c r="E293" s="226"/>
      <c r="F293" s="226"/>
      <c r="G293" s="242"/>
      <c r="H293" s="242"/>
      <c r="I293" s="242"/>
      <c r="J293" s="326"/>
      <c r="K293" s="614">
        <f t="shared" si="8"/>
        <v>0</v>
      </c>
      <c r="L293" s="614">
        <f t="shared" si="9"/>
        <v>0</v>
      </c>
    </row>
    <row r="294" spans="1:12" ht="30" customHeight="1">
      <c r="A294" s="241" t="s">
        <v>64</v>
      </c>
      <c r="B294" s="273" t="s">
        <v>383</v>
      </c>
      <c r="C294" s="273" t="s">
        <v>459</v>
      </c>
      <c r="D294" s="188">
        <v>6611</v>
      </c>
      <c r="E294" s="192" t="s">
        <v>6</v>
      </c>
      <c r="F294" s="226">
        <f>10+36</f>
        <v>46</v>
      </c>
      <c r="G294" s="242">
        <v>144875132</v>
      </c>
      <c r="H294" s="242">
        <f>63244018.5+6743333</f>
        <v>69987351.5</v>
      </c>
      <c r="I294" s="242">
        <f>140102692-12708000+17480440</f>
        <v>144875132</v>
      </c>
      <c r="J294" s="326"/>
      <c r="K294" s="614">
        <f t="shared" si="8"/>
        <v>144875132</v>
      </c>
      <c r="L294" s="614">
        <f t="shared" si="9"/>
        <v>74887780.5</v>
      </c>
    </row>
    <row r="295" spans="1:12" ht="30" customHeight="1">
      <c r="A295" s="241" t="s">
        <v>64</v>
      </c>
      <c r="B295" s="273" t="s">
        <v>383</v>
      </c>
      <c r="C295" s="273" t="s">
        <v>459</v>
      </c>
      <c r="D295" s="188">
        <v>6682</v>
      </c>
      <c r="E295" s="192" t="s">
        <v>262</v>
      </c>
      <c r="F295" s="226"/>
      <c r="G295" s="242"/>
      <c r="H295" s="242"/>
      <c r="I295" s="242"/>
      <c r="J295" s="326"/>
      <c r="K295" s="614">
        <f t="shared" si="8"/>
        <v>0</v>
      </c>
      <c r="L295" s="614">
        <f t="shared" si="9"/>
        <v>0</v>
      </c>
    </row>
    <row r="296" spans="1:12" ht="30" customHeight="1">
      <c r="A296" s="241" t="s">
        <v>64</v>
      </c>
      <c r="B296" s="273" t="s">
        <v>383</v>
      </c>
      <c r="C296" s="273" t="s">
        <v>459</v>
      </c>
      <c r="D296" s="188">
        <v>60100</v>
      </c>
      <c r="E296" s="192" t="s">
        <v>7</v>
      </c>
      <c r="F296" s="226"/>
      <c r="G296" s="242">
        <v>1504000</v>
      </c>
      <c r="H296" s="242">
        <v>1128000</v>
      </c>
      <c r="I296" s="242">
        <f>1504000</f>
        <v>1504000</v>
      </c>
      <c r="J296" s="326"/>
      <c r="K296" s="614">
        <f t="shared" si="8"/>
        <v>1504000</v>
      </c>
      <c r="L296" s="614">
        <f t="shared" si="9"/>
        <v>376000</v>
      </c>
    </row>
    <row r="297" spans="1:12" ht="30" customHeight="1">
      <c r="A297" s="241" t="s">
        <v>64</v>
      </c>
      <c r="B297" s="273" t="s">
        <v>383</v>
      </c>
      <c r="C297" s="273" t="s">
        <v>459</v>
      </c>
      <c r="D297" s="188">
        <v>60101</v>
      </c>
      <c r="E297" s="192" t="s">
        <v>255</v>
      </c>
      <c r="F297" s="226"/>
      <c r="G297" s="242"/>
      <c r="H297" s="242"/>
      <c r="I297" s="242"/>
      <c r="J297" s="326"/>
      <c r="K297" s="614">
        <f t="shared" si="8"/>
        <v>0</v>
      </c>
      <c r="L297" s="614">
        <f t="shared" si="9"/>
        <v>0</v>
      </c>
    </row>
    <row r="298" spans="1:12" ht="30" customHeight="1">
      <c r="A298" s="241" t="s">
        <v>64</v>
      </c>
      <c r="B298" s="273" t="s">
        <v>383</v>
      </c>
      <c r="C298" s="273" t="s">
        <v>459</v>
      </c>
      <c r="D298" s="188">
        <v>6122</v>
      </c>
      <c r="E298" s="235" t="s">
        <v>582</v>
      </c>
      <c r="F298" s="226"/>
      <c r="G298" s="242">
        <v>1034000</v>
      </c>
      <c r="H298" s="242">
        <v>775500</v>
      </c>
      <c r="I298" s="242">
        <f>1034000</f>
        <v>1034000</v>
      </c>
      <c r="J298" s="326"/>
      <c r="K298" s="614">
        <f t="shared" si="8"/>
        <v>1034000</v>
      </c>
      <c r="L298" s="614">
        <f t="shared" si="9"/>
        <v>258500</v>
      </c>
    </row>
    <row r="299" spans="1:12" ht="30" customHeight="1">
      <c r="A299" s="241" t="s">
        <v>64</v>
      </c>
      <c r="B299" s="273" t="s">
        <v>383</v>
      </c>
      <c r="C299" s="273" t="s">
        <v>459</v>
      </c>
      <c r="D299" s="188">
        <v>6175</v>
      </c>
      <c r="E299" s="194" t="s">
        <v>13</v>
      </c>
      <c r="F299" s="253"/>
      <c r="G299" s="242">
        <v>1504000</v>
      </c>
      <c r="H299" s="242">
        <v>1128000</v>
      </c>
      <c r="I299" s="242">
        <f>1504000</f>
        <v>1504000</v>
      </c>
      <c r="J299" s="326"/>
      <c r="K299" s="614">
        <f t="shared" si="8"/>
        <v>1504000</v>
      </c>
      <c r="L299" s="614">
        <f t="shared" si="9"/>
        <v>376000</v>
      </c>
    </row>
    <row r="300" spans="1:12" ht="30" customHeight="1">
      <c r="A300" s="241" t="s">
        <v>64</v>
      </c>
      <c r="B300" s="273" t="s">
        <v>383</v>
      </c>
      <c r="C300" s="273" t="s">
        <v>459</v>
      </c>
      <c r="D300" s="257" t="s">
        <v>20</v>
      </c>
      <c r="E300" s="226"/>
      <c r="F300" s="98">
        <f>SUBTOTAL(109,F294:F299)</f>
        <v>46</v>
      </c>
      <c r="G300" s="98">
        <f>SUBTOTAL(109,G294:G299)</f>
        <v>148917132</v>
      </c>
      <c r="H300" s="98">
        <f>SUBTOTAL(109,H294:H299)</f>
        <v>73018851.5</v>
      </c>
      <c r="I300" s="98">
        <f>SUBTOTAL(109,I294:I299)</f>
        <v>148917132</v>
      </c>
      <c r="J300" s="581">
        <f>SUBTOTAL(109,J294:J299)</f>
        <v>0</v>
      </c>
      <c r="K300" s="614">
        <f t="shared" si="8"/>
        <v>148917132</v>
      </c>
      <c r="L300" s="614">
        <f t="shared" si="9"/>
        <v>75898280.5</v>
      </c>
    </row>
    <row r="301" spans="1:12" ht="30" customHeight="1">
      <c r="A301" s="241" t="s">
        <v>64</v>
      </c>
      <c r="B301" s="273" t="s">
        <v>384</v>
      </c>
      <c r="C301" s="273" t="s">
        <v>459</v>
      </c>
      <c r="D301" s="254" t="s">
        <v>66</v>
      </c>
      <c r="E301" s="226"/>
      <c r="F301" s="226"/>
      <c r="G301" s="98"/>
      <c r="H301" s="267"/>
      <c r="I301" s="267"/>
      <c r="J301" s="326"/>
      <c r="K301" s="614">
        <f t="shared" si="8"/>
        <v>0</v>
      </c>
      <c r="L301" s="614">
        <f t="shared" si="9"/>
        <v>0</v>
      </c>
    </row>
    <row r="302" spans="1:12" ht="30" customHeight="1">
      <c r="A302" s="241" t="s">
        <v>64</v>
      </c>
      <c r="B302" s="273" t="s">
        <v>384</v>
      </c>
      <c r="C302" s="273" t="s">
        <v>459</v>
      </c>
      <c r="D302" s="188">
        <v>6611</v>
      </c>
      <c r="E302" s="192" t="s">
        <v>6</v>
      </c>
      <c r="F302" s="226">
        <f>5+17+7</f>
        <v>29</v>
      </c>
      <c r="G302" s="242">
        <v>46418340</v>
      </c>
      <c r="H302" s="242">
        <v>9251866.7</v>
      </c>
      <c r="I302" s="242">
        <v>46418340</v>
      </c>
      <c r="J302" s="326"/>
      <c r="K302" s="614">
        <f t="shared" si="8"/>
        <v>46418340</v>
      </c>
      <c r="L302" s="614">
        <f t="shared" si="9"/>
        <v>37166473.3</v>
      </c>
    </row>
    <row r="303" spans="1:12" ht="30" customHeight="1">
      <c r="A303" s="241" t="s">
        <v>64</v>
      </c>
      <c r="B303" s="273" t="s">
        <v>384</v>
      </c>
      <c r="C303" s="273" t="s">
        <v>459</v>
      </c>
      <c r="D303" s="188">
        <v>60100</v>
      </c>
      <c r="E303" s="192" t="s">
        <v>7</v>
      </c>
      <c r="F303" s="226"/>
      <c r="G303" s="242">
        <v>658000</v>
      </c>
      <c r="H303" s="242">
        <v>493500</v>
      </c>
      <c r="I303" s="242">
        <v>658000</v>
      </c>
      <c r="J303" s="326"/>
      <c r="K303" s="614">
        <f t="shared" si="8"/>
        <v>658000</v>
      </c>
      <c r="L303" s="614">
        <f t="shared" si="9"/>
        <v>164500</v>
      </c>
    </row>
    <row r="304" spans="1:12" ht="30" customHeight="1">
      <c r="A304" s="241" t="s">
        <v>64</v>
      </c>
      <c r="B304" s="273" t="s">
        <v>384</v>
      </c>
      <c r="C304" s="273" t="s">
        <v>459</v>
      </c>
      <c r="D304" s="188">
        <v>60101</v>
      </c>
      <c r="E304" s="192" t="s">
        <v>255</v>
      </c>
      <c r="F304" s="226"/>
      <c r="G304" s="242">
        <v>0</v>
      </c>
      <c r="H304" s="242"/>
      <c r="I304" s="242">
        <v>0</v>
      </c>
      <c r="J304" s="326"/>
      <c r="K304" s="614">
        <f t="shared" si="8"/>
        <v>0</v>
      </c>
      <c r="L304" s="614">
        <f t="shared" si="9"/>
        <v>0</v>
      </c>
    </row>
    <row r="305" spans="1:12" ht="30" customHeight="1">
      <c r="A305" s="241" t="s">
        <v>64</v>
      </c>
      <c r="B305" s="273" t="s">
        <v>384</v>
      </c>
      <c r="C305" s="273" t="s">
        <v>459</v>
      </c>
      <c r="D305" s="188">
        <v>6122</v>
      </c>
      <c r="E305" s="235" t="s">
        <v>582</v>
      </c>
      <c r="F305" s="226"/>
      <c r="G305" s="242">
        <v>463890</v>
      </c>
      <c r="H305" s="242">
        <v>462973</v>
      </c>
      <c r="I305" s="242">
        <v>463890</v>
      </c>
      <c r="J305" s="326"/>
      <c r="K305" s="614">
        <f t="shared" si="8"/>
        <v>463890</v>
      </c>
      <c r="L305" s="614">
        <f t="shared" si="9"/>
        <v>917</v>
      </c>
    </row>
    <row r="306" spans="1:12" ht="30" customHeight="1">
      <c r="A306" s="241" t="s">
        <v>64</v>
      </c>
      <c r="B306" s="273" t="s">
        <v>384</v>
      </c>
      <c r="C306" s="273" t="s">
        <v>459</v>
      </c>
      <c r="D306" s="188">
        <v>6175</v>
      </c>
      <c r="E306" s="194" t="s">
        <v>13</v>
      </c>
      <c r="F306" s="226"/>
      <c r="G306" s="242">
        <v>376000</v>
      </c>
      <c r="H306" s="242">
        <v>282000</v>
      </c>
      <c r="I306" s="242">
        <v>376000</v>
      </c>
      <c r="J306" s="326"/>
      <c r="K306" s="614">
        <f t="shared" si="8"/>
        <v>376000</v>
      </c>
      <c r="L306" s="614">
        <f t="shared" si="9"/>
        <v>94000</v>
      </c>
    </row>
    <row r="307" spans="1:12" ht="30" customHeight="1">
      <c r="A307" s="241" t="s">
        <v>64</v>
      </c>
      <c r="B307" s="273" t="s">
        <v>384</v>
      </c>
      <c r="C307" s="273" t="s">
        <v>459</v>
      </c>
      <c r="D307" s="257" t="s">
        <v>20</v>
      </c>
      <c r="E307" s="307"/>
      <c r="F307" s="227">
        <f>SUBTOTAL(109,F302:F306)</f>
        <v>29</v>
      </c>
      <c r="G307" s="98">
        <f>SUBTOTAL(109,G302:G306)</f>
        <v>47916230</v>
      </c>
      <c r="H307" s="98">
        <f>SUBTOTAL(109,H302:H306)</f>
        <v>10490339.7</v>
      </c>
      <c r="I307" s="98">
        <f>SUBTOTAL(109,I302:I306)</f>
        <v>47916230</v>
      </c>
      <c r="J307" s="581">
        <f>SUBTOTAL(109,J302:J306)</f>
        <v>0</v>
      </c>
      <c r="K307" s="614">
        <f t="shared" si="8"/>
        <v>47916230</v>
      </c>
      <c r="L307" s="614">
        <f t="shared" si="9"/>
        <v>37425890.3</v>
      </c>
    </row>
    <row r="308" spans="1:12" ht="30" customHeight="1">
      <c r="A308" s="241" t="s">
        <v>64</v>
      </c>
      <c r="B308" s="273" t="s">
        <v>385</v>
      </c>
      <c r="C308" s="273" t="s">
        <v>477</v>
      </c>
      <c r="D308" s="254" t="s">
        <v>67</v>
      </c>
      <c r="E308" s="226"/>
      <c r="F308" s="226"/>
      <c r="G308" s="242"/>
      <c r="H308" s="242"/>
      <c r="I308" s="242"/>
      <c r="J308" s="326"/>
      <c r="K308" s="614">
        <f t="shared" si="8"/>
        <v>0</v>
      </c>
      <c r="L308" s="614">
        <f t="shared" si="9"/>
        <v>0</v>
      </c>
    </row>
    <row r="309" spans="1:12" ht="30" customHeight="1">
      <c r="A309" s="241" t="s">
        <v>64</v>
      </c>
      <c r="B309" s="273" t="s">
        <v>385</v>
      </c>
      <c r="C309" s="273" t="s">
        <v>477</v>
      </c>
      <c r="D309" s="188">
        <v>6611</v>
      </c>
      <c r="E309" s="192" t="s">
        <v>6</v>
      </c>
      <c r="F309" s="226">
        <v>7</v>
      </c>
      <c r="G309" s="242">
        <v>8835016</v>
      </c>
      <c r="H309" s="242">
        <v>6471666.84</v>
      </c>
      <c r="I309" s="242">
        <f>7424400+1410616</f>
        <v>8835016</v>
      </c>
      <c r="J309" s="326"/>
      <c r="K309" s="614">
        <f t="shared" si="8"/>
        <v>8835016</v>
      </c>
      <c r="L309" s="614">
        <f t="shared" si="9"/>
        <v>2363349.16</v>
      </c>
    </row>
    <row r="310" spans="1:12" ht="30" customHeight="1">
      <c r="A310" s="241" t="s">
        <v>64</v>
      </c>
      <c r="B310" s="273" t="s">
        <v>385</v>
      </c>
      <c r="C310" s="273" t="s">
        <v>477</v>
      </c>
      <c r="D310" s="188">
        <v>60100</v>
      </c>
      <c r="E310" s="192" t="s">
        <v>7</v>
      </c>
      <c r="F310" s="226"/>
      <c r="G310" s="242">
        <v>854460</v>
      </c>
      <c r="H310" s="242">
        <v>213615</v>
      </c>
      <c r="I310" s="242">
        <f>854460</f>
        <v>854460</v>
      </c>
      <c r="J310" s="326"/>
      <c r="K310" s="614">
        <f t="shared" si="8"/>
        <v>854460</v>
      </c>
      <c r="L310" s="614">
        <f t="shared" si="9"/>
        <v>640845</v>
      </c>
    </row>
    <row r="311" spans="1:12" ht="30" customHeight="1">
      <c r="A311" s="241" t="s">
        <v>64</v>
      </c>
      <c r="B311" s="273" t="s">
        <v>385</v>
      </c>
      <c r="C311" s="273" t="s">
        <v>477</v>
      </c>
      <c r="D311" s="188">
        <v>6122</v>
      </c>
      <c r="E311" s="235" t="s">
        <v>582</v>
      </c>
      <c r="F311" s="226"/>
      <c r="G311" s="242">
        <v>664580</v>
      </c>
      <c r="H311" s="242">
        <v>166145</v>
      </c>
      <c r="I311" s="242">
        <f>664580</f>
        <v>664580</v>
      </c>
      <c r="J311" s="326"/>
      <c r="K311" s="614">
        <f t="shared" si="8"/>
        <v>664580</v>
      </c>
      <c r="L311" s="614">
        <f t="shared" si="9"/>
        <v>498435</v>
      </c>
    </row>
    <row r="312" spans="1:12" ht="30" customHeight="1">
      <c r="A312" s="241" t="s">
        <v>64</v>
      </c>
      <c r="B312" s="273" t="s">
        <v>385</v>
      </c>
      <c r="C312" s="273" t="s">
        <v>477</v>
      </c>
      <c r="D312" s="188">
        <v>6021</v>
      </c>
      <c r="E312" s="192" t="s">
        <v>68</v>
      </c>
      <c r="F312" s="226"/>
      <c r="G312" s="242">
        <v>60000000</v>
      </c>
      <c r="H312" s="242">
        <v>45000000</v>
      </c>
      <c r="I312" s="242">
        <v>60000000</v>
      </c>
      <c r="J312" s="326"/>
      <c r="K312" s="614">
        <f t="shared" si="8"/>
        <v>60000000</v>
      </c>
      <c r="L312" s="614">
        <f t="shared" si="9"/>
        <v>15000000</v>
      </c>
    </row>
    <row r="313" spans="1:12" ht="30" customHeight="1">
      <c r="A313" s="241" t="s">
        <v>64</v>
      </c>
      <c r="B313" s="273" t="s">
        <v>385</v>
      </c>
      <c r="C313" s="273" t="s">
        <v>477</v>
      </c>
      <c r="D313" s="188">
        <v>6432</v>
      </c>
      <c r="E313" s="192" t="s">
        <v>41</v>
      </c>
      <c r="F313" s="226"/>
      <c r="G313" s="242"/>
      <c r="H313" s="242"/>
      <c r="I313" s="242"/>
      <c r="J313" s="326"/>
      <c r="K313" s="614">
        <f t="shared" si="8"/>
        <v>0</v>
      </c>
      <c r="L313" s="614">
        <f t="shared" si="9"/>
        <v>0</v>
      </c>
    </row>
    <row r="314" spans="1:12" ht="30" customHeight="1">
      <c r="A314" s="241" t="s">
        <v>64</v>
      </c>
      <c r="B314" s="273" t="s">
        <v>385</v>
      </c>
      <c r="C314" s="273" t="s">
        <v>477</v>
      </c>
      <c r="D314" s="257" t="s">
        <v>20</v>
      </c>
      <c r="E314" s="226"/>
      <c r="F314" s="98">
        <f>SUBTOTAL(109,F309:F313)</f>
        <v>7</v>
      </c>
      <c r="G314" s="98">
        <f>SUBTOTAL(109,G309:G313)</f>
        <v>70354056</v>
      </c>
      <c r="H314" s="98">
        <f>SUBTOTAL(109,H309:H313)</f>
        <v>51851426.84</v>
      </c>
      <c r="I314" s="98">
        <f>SUBTOTAL(109,I309:I313)</f>
        <v>70354056</v>
      </c>
      <c r="J314" s="581">
        <f>SUBTOTAL(109,J309:J313)</f>
        <v>0</v>
      </c>
      <c r="K314" s="614">
        <f t="shared" si="8"/>
        <v>70354056</v>
      </c>
      <c r="L314" s="614">
        <f t="shared" si="9"/>
        <v>18502629.159999996</v>
      </c>
    </row>
    <row r="315" spans="1:12" ht="30" customHeight="1">
      <c r="A315" s="241" t="s">
        <v>64</v>
      </c>
      <c r="B315" s="273" t="s">
        <v>386</v>
      </c>
      <c r="C315" s="273" t="s">
        <v>465</v>
      </c>
      <c r="D315" s="271" t="s">
        <v>69</v>
      </c>
      <c r="E315" s="226"/>
      <c r="F315" s="226"/>
      <c r="G315" s="242"/>
      <c r="H315" s="242"/>
      <c r="I315" s="242"/>
      <c r="J315" s="326"/>
      <c r="K315" s="614">
        <f t="shared" si="8"/>
        <v>0</v>
      </c>
      <c r="L315" s="614">
        <f t="shared" si="9"/>
        <v>0</v>
      </c>
    </row>
    <row r="316" spans="1:12" ht="30" customHeight="1">
      <c r="A316" s="241" t="s">
        <v>64</v>
      </c>
      <c r="B316" s="273" t="s">
        <v>386</v>
      </c>
      <c r="C316" s="273" t="s">
        <v>465</v>
      </c>
      <c r="D316" s="188">
        <v>6611</v>
      </c>
      <c r="E316" s="192" t="s">
        <v>6</v>
      </c>
      <c r="F316" s="226">
        <v>33</v>
      </c>
      <c r="G316" s="242">
        <v>64621200</v>
      </c>
      <c r="H316" s="242">
        <v>94999105.80000001</v>
      </c>
      <c r="I316" s="242">
        <f>55227200+9394000</f>
        <v>64621200</v>
      </c>
      <c r="J316" s="326"/>
      <c r="K316" s="614">
        <f t="shared" si="8"/>
        <v>64621200</v>
      </c>
      <c r="L316" s="614">
        <f t="shared" si="9"/>
        <v>-30377905.800000012</v>
      </c>
    </row>
    <row r="317" spans="1:12" ht="30" customHeight="1">
      <c r="A317" s="241" t="s">
        <v>64</v>
      </c>
      <c r="B317" s="273" t="s">
        <v>386</v>
      </c>
      <c r="C317" s="273" t="s">
        <v>465</v>
      </c>
      <c r="D317" s="188">
        <v>60100</v>
      </c>
      <c r="E317" s="192" t="s">
        <v>7</v>
      </c>
      <c r="F317" s="226"/>
      <c r="G317" s="242">
        <v>1891186</v>
      </c>
      <c r="H317" s="242">
        <v>741792</v>
      </c>
      <c r="I317" s="242">
        <f>1891186</f>
        <v>1891186</v>
      </c>
      <c r="J317" s="326"/>
      <c r="K317" s="614">
        <f t="shared" si="8"/>
        <v>1891186</v>
      </c>
      <c r="L317" s="614">
        <f t="shared" si="9"/>
        <v>1149394</v>
      </c>
    </row>
    <row r="318" spans="1:12" ht="30" customHeight="1">
      <c r="A318" s="241" t="s">
        <v>64</v>
      </c>
      <c r="B318" s="273" t="s">
        <v>386</v>
      </c>
      <c r="C318" s="273" t="s">
        <v>465</v>
      </c>
      <c r="D318" s="188">
        <v>6122</v>
      </c>
      <c r="E318" s="235" t="s">
        <v>582</v>
      </c>
      <c r="F318" s="226"/>
      <c r="G318" s="242">
        <v>756474</v>
      </c>
      <c r="H318" s="242">
        <v>567119</v>
      </c>
      <c r="I318" s="242">
        <f>756474</f>
        <v>756474</v>
      </c>
      <c r="J318" s="326"/>
      <c r="K318" s="614">
        <f t="shared" si="8"/>
        <v>756474</v>
      </c>
      <c r="L318" s="614">
        <f t="shared" si="9"/>
        <v>189355</v>
      </c>
    </row>
    <row r="319" spans="1:12" ht="30" customHeight="1">
      <c r="A319" s="241" t="s">
        <v>64</v>
      </c>
      <c r="B319" s="273" t="s">
        <v>386</v>
      </c>
      <c r="C319" s="273" t="s">
        <v>465</v>
      </c>
      <c r="D319" s="188">
        <v>6152</v>
      </c>
      <c r="E319" s="192" t="s">
        <v>256</v>
      </c>
      <c r="F319" s="226"/>
      <c r="G319" s="336"/>
      <c r="H319" s="336"/>
      <c r="I319" s="336"/>
      <c r="J319" s="326"/>
      <c r="K319" s="614">
        <f t="shared" si="8"/>
        <v>0</v>
      </c>
      <c r="L319" s="614">
        <f t="shared" si="9"/>
        <v>0</v>
      </c>
    </row>
    <row r="320" spans="1:12" ht="30" customHeight="1">
      <c r="A320" s="241" t="s">
        <v>64</v>
      </c>
      <c r="B320" s="273" t="s">
        <v>386</v>
      </c>
      <c r="C320" s="273" t="s">
        <v>465</v>
      </c>
      <c r="D320" s="188">
        <v>6171</v>
      </c>
      <c r="E320" s="192" t="s">
        <v>214</v>
      </c>
      <c r="F320" s="226"/>
      <c r="G320" s="242"/>
      <c r="H320" s="242"/>
      <c r="I320" s="242"/>
      <c r="J320" s="326"/>
      <c r="K320" s="614">
        <f t="shared" si="8"/>
        <v>0</v>
      </c>
      <c r="L320" s="614">
        <f t="shared" si="9"/>
        <v>0</v>
      </c>
    </row>
    <row r="321" spans="1:12" ht="30" customHeight="1">
      <c r="A321" s="241" t="s">
        <v>64</v>
      </c>
      <c r="B321" s="273" t="s">
        <v>386</v>
      </c>
      <c r="C321" s="273" t="s">
        <v>465</v>
      </c>
      <c r="D321" s="188">
        <v>6175</v>
      </c>
      <c r="E321" s="192" t="s">
        <v>49</v>
      </c>
      <c r="F321" s="226"/>
      <c r="G321" s="242"/>
      <c r="H321" s="242"/>
      <c r="I321" s="242"/>
      <c r="J321" s="326"/>
      <c r="K321" s="614">
        <f t="shared" si="8"/>
        <v>0</v>
      </c>
      <c r="L321" s="614">
        <f t="shared" si="9"/>
        <v>0</v>
      </c>
    </row>
    <row r="322" spans="1:12" ht="30" customHeight="1">
      <c r="A322" s="241" t="s">
        <v>64</v>
      </c>
      <c r="B322" s="273" t="s">
        <v>386</v>
      </c>
      <c r="C322" s="273" t="s">
        <v>465</v>
      </c>
      <c r="D322" s="188">
        <v>2171</v>
      </c>
      <c r="E322" s="179" t="s">
        <v>284</v>
      </c>
      <c r="F322" s="226"/>
      <c r="G322" s="336"/>
      <c r="H322" s="336"/>
      <c r="I322" s="336"/>
      <c r="J322" s="326"/>
      <c r="K322" s="614">
        <f t="shared" si="8"/>
        <v>0</v>
      </c>
      <c r="L322" s="614">
        <f t="shared" si="9"/>
        <v>0</v>
      </c>
    </row>
    <row r="323" spans="1:12" ht="30" customHeight="1">
      <c r="A323" s="241" t="s">
        <v>64</v>
      </c>
      <c r="B323" s="273" t="s">
        <v>386</v>
      </c>
      <c r="C323" s="273" t="s">
        <v>465</v>
      </c>
      <c r="D323" s="257" t="s">
        <v>20</v>
      </c>
      <c r="E323" s="226"/>
      <c r="F323" s="98">
        <f>SUBTOTAL(109,F316:F322)</f>
        <v>33</v>
      </c>
      <c r="G323" s="98">
        <f>SUBTOTAL(109,G316:G322)</f>
        <v>67268860</v>
      </c>
      <c r="H323" s="98">
        <f>SUBTOTAL(109,H316:H322)</f>
        <v>96308016.80000001</v>
      </c>
      <c r="I323" s="98">
        <f>SUBTOTAL(109,I316:I322)</f>
        <v>67268860</v>
      </c>
      <c r="J323" s="581">
        <f>SUBTOTAL(109,J316:J322)</f>
        <v>0</v>
      </c>
      <c r="K323" s="614">
        <f t="shared" si="8"/>
        <v>67268860</v>
      </c>
      <c r="L323" s="614">
        <f t="shared" si="9"/>
        <v>-29039156.800000012</v>
      </c>
    </row>
    <row r="324" spans="1:12" ht="30" customHeight="1">
      <c r="A324" s="241" t="s">
        <v>64</v>
      </c>
      <c r="B324" s="273" t="s">
        <v>387</v>
      </c>
      <c r="C324" s="273" t="s">
        <v>459</v>
      </c>
      <c r="D324" s="271" t="s">
        <v>70</v>
      </c>
      <c r="E324" s="226"/>
      <c r="F324" s="226"/>
      <c r="G324" s="242"/>
      <c r="H324" s="242"/>
      <c r="I324" s="242"/>
      <c r="J324" s="326"/>
      <c r="K324" s="614">
        <f t="shared" si="8"/>
        <v>0</v>
      </c>
      <c r="L324" s="614">
        <f t="shared" si="9"/>
        <v>0</v>
      </c>
    </row>
    <row r="325" spans="1:12" ht="30" customHeight="1">
      <c r="A325" s="241" t="s">
        <v>64</v>
      </c>
      <c r="B325" s="273" t="s">
        <v>387</v>
      </c>
      <c r="C325" s="273" t="s">
        <v>459</v>
      </c>
      <c r="D325" s="188">
        <v>6611</v>
      </c>
      <c r="E325" s="192" t="s">
        <v>6</v>
      </c>
      <c r="F325" s="226">
        <v>9</v>
      </c>
      <c r="G325" s="242">
        <v>20676936</v>
      </c>
      <c r="H325" s="242">
        <v>30439650.04</v>
      </c>
      <c r="I325" s="242">
        <f>19106000+1570936</f>
        <v>20676936</v>
      </c>
      <c r="J325" s="326"/>
      <c r="K325" s="614">
        <f t="shared" si="8"/>
        <v>20676936</v>
      </c>
      <c r="L325" s="614">
        <f t="shared" si="9"/>
        <v>-9762714.04</v>
      </c>
    </row>
    <row r="326" spans="1:12" ht="30" customHeight="1">
      <c r="A326" s="241" t="s">
        <v>64</v>
      </c>
      <c r="B326" s="273" t="s">
        <v>387</v>
      </c>
      <c r="C326" s="273" t="s">
        <v>459</v>
      </c>
      <c r="D326" s="188">
        <v>60100</v>
      </c>
      <c r="E326" s="192" t="s">
        <v>7</v>
      </c>
      <c r="F326" s="226"/>
      <c r="G326" s="242">
        <v>759520</v>
      </c>
      <c r="H326" s="242">
        <v>189880</v>
      </c>
      <c r="I326" s="242">
        <f>759520</f>
        <v>759520</v>
      </c>
      <c r="J326" s="326"/>
      <c r="K326" s="614">
        <f aca="true" t="shared" si="10" ref="K326:K389">I326+J326</f>
        <v>759520</v>
      </c>
      <c r="L326" s="614">
        <f t="shared" si="9"/>
        <v>569640</v>
      </c>
    </row>
    <row r="327" spans="1:12" ht="30" customHeight="1">
      <c r="A327" s="241" t="s">
        <v>64</v>
      </c>
      <c r="B327" s="273" t="s">
        <v>387</v>
      </c>
      <c r="C327" s="273" t="s">
        <v>459</v>
      </c>
      <c r="D327" s="188">
        <v>6122</v>
      </c>
      <c r="E327" s="235" t="s">
        <v>582</v>
      </c>
      <c r="F327" s="226"/>
      <c r="G327" s="242">
        <v>569640</v>
      </c>
      <c r="H327" s="242">
        <v>142410</v>
      </c>
      <c r="I327" s="242">
        <f>569640</f>
        <v>569640</v>
      </c>
      <c r="J327" s="326"/>
      <c r="K327" s="614">
        <f t="shared" si="10"/>
        <v>569640</v>
      </c>
      <c r="L327" s="614">
        <f aca="true" t="shared" si="11" ref="L327:L390">K327-H327</f>
        <v>427230</v>
      </c>
    </row>
    <row r="328" spans="1:12" ht="30" customHeight="1">
      <c r="A328" s="241" t="s">
        <v>64</v>
      </c>
      <c r="B328" s="273" t="s">
        <v>387</v>
      </c>
      <c r="C328" s="273" t="s">
        <v>459</v>
      </c>
      <c r="D328" s="257" t="s">
        <v>20</v>
      </c>
      <c r="E328" s="226"/>
      <c r="F328" s="98">
        <f>SUBTOTAL(109,F325:F327)</f>
        <v>9</v>
      </c>
      <c r="G328" s="98">
        <f>SUBTOTAL(109,G325:G327)</f>
        <v>22006096</v>
      </c>
      <c r="H328" s="98">
        <f>SUBTOTAL(109,H325:H327)</f>
        <v>30771940.04</v>
      </c>
      <c r="I328" s="98">
        <f>SUBTOTAL(109,I325:I327)</f>
        <v>22006096</v>
      </c>
      <c r="J328" s="581">
        <f>SUBTOTAL(109,J325:J327)</f>
        <v>0</v>
      </c>
      <c r="K328" s="614">
        <f t="shared" si="10"/>
        <v>22006096</v>
      </c>
      <c r="L328" s="614">
        <f t="shared" si="11"/>
        <v>-8765844.04</v>
      </c>
    </row>
    <row r="329" spans="1:12" ht="30" customHeight="1">
      <c r="A329" s="241" t="s">
        <v>64</v>
      </c>
      <c r="B329" s="273" t="s">
        <v>388</v>
      </c>
      <c r="C329" s="273" t="s">
        <v>459</v>
      </c>
      <c r="D329" s="252" t="s">
        <v>71</v>
      </c>
      <c r="E329" s="226"/>
      <c r="F329" s="226"/>
      <c r="G329" s="242"/>
      <c r="H329" s="242"/>
      <c r="I329" s="242"/>
      <c r="J329" s="326"/>
      <c r="K329" s="614">
        <f t="shared" si="10"/>
        <v>0</v>
      </c>
      <c r="L329" s="614">
        <f t="shared" si="11"/>
        <v>0</v>
      </c>
    </row>
    <row r="330" spans="1:12" ht="30" customHeight="1">
      <c r="A330" s="241" t="s">
        <v>64</v>
      </c>
      <c r="B330" s="273" t="s">
        <v>388</v>
      </c>
      <c r="C330" s="273" t="s">
        <v>459</v>
      </c>
      <c r="D330" s="188">
        <v>6611</v>
      </c>
      <c r="E330" s="192" t="s">
        <v>6</v>
      </c>
      <c r="F330" s="226">
        <v>163</v>
      </c>
      <c r="G330" s="242">
        <v>479084236</v>
      </c>
      <c r="H330" s="242">
        <v>490992162.66</v>
      </c>
      <c r="I330" s="242">
        <f>424523101+54561135</f>
        <v>479084236</v>
      </c>
      <c r="J330" s="326"/>
      <c r="K330" s="614">
        <f t="shared" si="10"/>
        <v>479084236</v>
      </c>
      <c r="L330" s="614">
        <f t="shared" si="11"/>
        <v>-11907926.660000026</v>
      </c>
    </row>
    <row r="331" spans="1:12" ht="30" customHeight="1">
      <c r="A331" s="241" t="s">
        <v>64</v>
      </c>
      <c r="B331" s="273" t="s">
        <v>388</v>
      </c>
      <c r="C331" s="273" t="s">
        <v>459</v>
      </c>
      <c r="D331" s="188">
        <v>60100</v>
      </c>
      <c r="E331" s="192" t="s">
        <v>7</v>
      </c>
      <c r="F331" s="226"/>
      <c r="G331" s="242">
        <v>854460</v>
      </c>
      <c r="H331" s="242"/>
      <c r="I331" s="242">
        <f>854460</f>
        <v>854460</v>
      </c>
      <c r="J331" s="326"/>
      <c r="K331" s="614">
        <f t="shared" si="10"/>
        <v>854460</v>
      </c>
      <c r="L331" s="614">
        <f t="shared" si="11"/>
        <v>854460</v>
      </c>
    </row>
    <row r="332" spans="1:12" ht="30" customHeight="1">
      <c r="A332" s="241" t="s">
        <v>64</v>
      </c>
      <c r="B332" s="273" t="s">
        <v>388</v>
      </c>
      <c r="C332" s="273" t="s">
        <v>459</v>
      </c>
      <c r="D332" s="188">
        <v>6122</v>
      </c>
      <c r="E332" s="235" t="s">
        <v>582</v>
      </c>
      <c r="F332" s="226"/>
      <c r="G332" s="242">
        <v>474700</v>
      </c>
      <c r="H332" s="242"/>
      <c r="I332" s="242">
        <v>474700</v>
      </c>
      <c r="J332" s="326"/>
      <c r="K332" s="614">
        <f t="shared" si="10"/>
        <v>474700</v>
      </c>
      <c r="L332" s="614">
        <f t="shared" si="11"/>
        <v>474700</v>
      </c>
    </row>
    <row r="333" spans="1:12" ht="30" customHeight="1">
      <c r="A333" s="241" t="s">
        <v>64</v>
      </c>
      <c r="B333" s="273" t="s">
        <v>388</v>
      </c>
      <c r="C333" s="273" t="s">
        <v>459</v>
      </c>
      <c r="D333" s="257" t="s">
        <v>20</v>
      </c>
      <c r="E333" s="227"/>
      <c r="F333" s="98">
        <f>SUBTOTAL(109,F330:F332)</f>
        <v>163</v>
      </c>
      <c r="G333" s="98">
        <f>SUBTOTAL(109,G330:G332)</f>
        <v>480413396</v>
      </c>
      <c r="H333" s="98">
        <f>SUBTOTAL(109,H330:H332)</f>
        <v>490992162.66</v>
      </c>
      <c r="I333" s="98">
        <f>SUBTOTAL(109,I330:I332)</f>
        <v>480413396</v>
      </c>
      <c r="J333" s="581">
        <f>SUBTOTAL(109,J330:J332)</f>
        <v>0</v>
      </c>
      <c r="K333" s="614">
        <f t="shared" si="10"/>
        <v>480413396</v>
      </c>
      <c r="L333" s="614">
        <f t="shared" si="11"/>
        <v>-10578766.660000026</v>
      </c>
    </row>
    <row r="334" spans="1:12" ht="30" customHeight="1">
      <c r="A334" s="241" t="s">
        <v>64</v>
      </c>
      <c r="B334" s="273" t="s">
        <v>389</v>
      </c>
      <c r="C334" s="273" t="s">
        <v>459</v>
      </c>
      <c r="D334" s="271" t="s">
        <v>73</v>
      </c>
      <c r="E334" s="226"/>
      <c r="F334" s="226"/>
      <c r="G334" s="242"/>
      <c r="H334" s="242"/>
      <c r="I334" s="242"/>
      <c r="J334" s="326"/>
      <c r="K334" s="614">
        <f t="shared" si="10"/>
        <v>0</v>
      </c>
      <c r="L334" s="614">
        <f t="shared" si="11"/>
        <v>0</v>
      </c>
    </row>
    <row r="335" spans="1:12" ht="30" customHeight="1">
      <c r="A335" s="241" t="s">
        <v>64</v>
      </c>
      <c r="B335" s="273" t="s">
        <v>389</v>
      </c>
      <c r="C335" s="273" t="s">
        <v>459</v>
      </c>
      <c r="D335" s="188">
        <v>60100</v>
      </c>
      <c r="E335" s="192" t="s">
        <v>7</v>
      </c>
      <c r="F335" s="226"/>
      <c r="G335" s="242">
        <v>470893</v>
      </c>
      <c r="H335" s="242"/>
      <c r="I335" s="242">
        <v>470893</v>
      </c>
      <c r="J335" s="326"/>
      <c r="K335" s="614">
        <f t="shared" si="10"/>
        <v>470893</v>
      </c>
      <c r="L335" s="614">
        <f t="shared" si="11"/>
        <v>470893</v>
      </c>
    </row>
    <row r="336" spans="1:12" ht="30" customHeight="1">
      <c r="A336" s="241" t="s">
        <v>64</v>
      </c>
      <c r="B336" s="273" t="s">
        <v>389</v>
      </c>
      <c r="C336" s="273" t="s">
        <v>459</v>
      </c>
      <c r="D336" s="188">
        <v>6122</v>
      </c>
      <c r="E336" s="235" t="s">
        <v>582</v>
      </c>
      <c r="F336" s="226"/>
      <c r="G336" s="242">
        <v>376714</v>
      </c>
      <c r="H336" s="242"/>
      <c r="I336" s="242">
        <v>376714</v>
      </c>
      <c r="J336" s="326"/>
      <c r="K336" s="614">
        <f t="shared" si="10"/>
        <v>376714</v>
      </c>
      <c r="L336" s="614">
        <f t="shared" si="11"/>
        <v>376714</v>
      </c>
    </row>
    <row r="337" spans="1:12" ht="30" customHeight="1">
      <c r="A337" s="241" t="s">
        <v>64</v>
      </c>
      <c r="B337" s="273" t="s">
        <v>389</v>
      </c>
      <c r="C337" s="273" t="s">
        <v>459</v>
      </c>
      <c r="D337" s="257" t="s">
        <v>20</v>
      </c>
      <c r="E337" s="226"/>
      <c r="F337" s="98">
        <f>SUBTOTAL(109,F335:F336)</f>
        <v>0</v>
      </c>
      <c r="G337" s="98">
        <f>SUBTOTAL(109,G335:G336)</f>
        <v>847607</v>
      </c>
      <c r="H337" s="98">
        <f>SUBTOTAL(109,H335:H336)</f>
        <v>0</v>
      </c>
      <c r="I337" s="98">
        <f>SUBTOTAL(109,I335:I336)</f>
        <v>847607</v>
      </c>
      <c r="J337" s="581">
        <f>SUBTOTAL(109,J335:J336)</f>
        <v>0</v>
      </c>
      <c r="K337" s="614">
        <f t="shared" si="10"/>
        <v>847607</v>
      </c>
      <c r="L337" s="614">
        <f t="shared" si="11"/>
        <v>847607</v>
      </c>
    </row>
    <row r="338" spans="1:12" ht="30" customHeight="1">
      <c r="A338" s="241" t="s">
        <v>64</v>
      </c>
      <c r="B338" s="273" t="s">
        <v>390</v>
      </c>
      <c r="C338" s="273" t="s">
        <v>459</v>
      </c>
      <c r="D338" s="271" t="s">
        <v>226</v>
      </c>
      <c r="E338" s="226"/>
      <c r="F338" s="226"/>
      <c r="G338" s="242"/>
      <c r="H338" s="242"/>
      <c r="I338" s="242"/>
      <c r="J338" s="326"/>
      <c r="K338" s="614">
        <f t="shared" si="10"/>
        <v>0</v>
      </c>
      <c r="L338" s="614">
        <f t="shared" si="11"/>
        <v>0</v>
      </c>
    </row>
    <row r="339" spans="1:12" ht="30" customHeight="1">
      <c r="A339" s="241" t="s">
        <v>64</v>
      </c>
      <c r="B339" s="273" t="s">
        <v>390</v>
      </c>
      <c r="C339" s="273" t="s">
        <v>459</v>
      </c>
      <c r="D339" s="188">
        <v>60100</v>
      </c>
      <c r="E339" s="192" t="s">
        <v>7</v>
      </c>
      <c r="F339" s="226"/>
      <c r="G339" s="242">
        <v>854460</v>
      </c>
      <c r="H339" s="242"/>
      <c r="I339" s="242">
        <v>854460</v>
      </c>
      <c r="J339" s="326"/>
      <c r="K339" s="614">
        <f t="shared" si="10"/>
        <v>854460</v>
      </c>
      <c r="L339" s="614">
        <f t="shared" si="11"/>
        <v>854460</v>
      </c>
    </row>
    <row r="340" spans="1:12" ht="30" customHeight="1">
      <c r="A340" s="241" t="s">
        <v>64</v>
      </c>
      <c r="B340" s="273" t="s">
        <v>390</v>
      </c>
      <c r="C340" s="273" t="s">
        <v>459</v>
      </c>
      <c r="D340" s="188">
        <v>6122</v>
      </c>
      <c r="E340" s="235" t="s">
        <v>582</v>
      </c>
      <c r="F340" s="226"/>
      <c r="G340" s="242">
        <v>664580</v>
      </c>
      <c r="H340" s="242"/>
      <c r="I340" s="242">
        <v>664580</v>
      </c>
      <c r="J340" s="326"/>
      <c r="K340" s="614">
        <f t="shared" si="10"/>
        <v>664580</v>
      </c>
      <c r="L340" s="614">
        <f t="shared" si="11"/>
        <v>664580</v>
      </c>
    </row>
    <row r="341" spans="1:12" ht="30" customHeight="1">
      <c r="A341" s="241" t="s">
        <v>64</v>
      </c>
      <c r="B341" s="273" t="s">
        <v>390</v>
      </c>
      <c r="C341" s="273" t="s">
        <v>459</v>
      </c>
      <c r="D341" s="257" t="s">
        <v>20</v>
      </c>
      <c r="E341" s="226"/>
      <c r="F341" s="98">
        <f>SUBTOTAL(109,F339:F340)</f>
        <v>0</v>
      </c>
      <c r="G341" s="98">
        <f>SUBTOTAL(109,G339:G340)</f>
        <v>1519040</v>
      </c>
      <c r="H341" s="98">
        <f>SUBTOTAL(109,H339:H340)</f>
        <v>0</v>
      </c>
      <c r="I341" s="98">
        <f>SUBTOTAL(109,I339:I340)</f>
        <v>1519040</v>
      </c>
      <c r="J341" s="581">
        <f>SUBTOTAL(109,J339:J340)</f>
        <v>0</v>
      </c>
      <c r="K341" s="614">
        <f t="shared" si="10"/>
        <v>1519040</v>
      </c>
      <c r="L341" s="614">
        <f t="shared" si="11"/>
        <v>1519040</v>
      </c>
    </row>
    <row r="342" spans="1:12" ht="30" customHeight="1">
      <c r="A342" s="241" t="s">
        <v>64</v>
      </c>
      <c r="B342" s="273" t="s">
        <v>391</v>
      </c>
      <c r="C342" s="273" t="s">
        <v>459</v>
      </c>
      <c r="D342" s="271" t="s">
        <v>227</v>
      </c>
      <c r="E342" s="226"/>
      <c r="F342" s="226"/>
      <c r="G342" s="242"/>
      <c r="H342" s="242"/>
      <c r="I342" s="242"/>
      <c r="J342" s="326"/>
      <c r="K342" s="614">
        <f t="shared" si="10"/>
        <v>0</v>
      </c>
      <c r="L342" s="614">
        <f t="shared" si="11"/>
        <v>0</v>
      </c>
    </row>
    <row r="343" spans="1:12" ht="30" customHeight="1">
      <c r="A343" s="241" t="s">
        <v>64</v>
      </c>
      <c r="B343" s="273" t="s">
        <v>391</v>
      </c>
      <c r="C343" s="273" t="s">
        <v>459</v>
      </c>
      <c r="D343" s="188">
        <v>60100</v>
      </c>
      <c r="E343" s="192" t="s">
        <v>7</v>
      </c>
      <c r="F343" s="226"/>
      <c r="G343" s="242">
        <v>569640</v>
      </c>
      <c r="H343" s="242"/>
      <c r="I343" s="242">
        <v>569640</v>
      </c>
      <c r="J343" s="326"/>
      <c r="K343" s="614">
        <f t="shared" si="10"/>
        <v>569640</v>
      </c>
      <c r="L343" s="614">
        <f t="shared" si="11"/>
        <v>569640</v>
      </c>
    </row>
    <row r="344" spans="1:12" ht="30" customHeight="1">
      <c r="A344" s="241" t="s">
        <v>64</v>
      </c>
      <c r="B344" s="273" t="s">
        <v>391</v>
      </c>
      <c r="C344" s="273" t="s">
        <v>459</v>
      </c>
      <c r="D344" s="188">
        <v>6122</v>
      </c>
      <c r="E344" s="235" t="s">
        <v>582</v>
      </c>
      <c r="F344" s="226"/>
      <c r="G344" s="242">
        <v>474700</v>
      </c>
      <c r="H344" s="242"/>
      <c r="I344" s="242">
        <v>474700</v>
      </c>
      <c r="J344" s="326"/>
      <c r="K344" s="614">
        <f t="shared" si="10"/>
        <v>474700</v>
      </c>
      <c r="L344" s="614">
        <f t="shared" si="11"/>
        <v>474700</v>
      </c>
    </row>
    <row r="345" spans="1:12" ht="30" customHeight="1">
      <c r="A345" s="241" t="s">
        <v>64</v>
      </c>
      <c r="B345" s="273" t="s">
        <v>391</v>
      </c>
      <c r="C345" s="273" t="s">
        <v>459</v>
      </c>
      <c r="D345" s="257" t="s">
        <v>20</v>
      </c>
      <c r="E345" s="226"/>
      <c r="F345" s="98">
        <f>SUBTOTAL(109,F343:F344)</f>
        <v>0</v>
      </c>
      <c r="G345" s="98">
        <f>SUBTOTAL(109,G343:G344)</f>
        <v>1044340</v>
      </c>
      <c r="H345" s="98">
        <f>SUBTOTAL(109,H343:H344)</f>
        <v>0</v>
      </c>
      <c r="I345" s="98">
        <f>SUBTOTAL(109,I343:I344)</f>
        <v>1044340</v>
      </c>
      <c r="J345" s="581">
        <f>SUBTOTAL(109,J343:J344)</f>
        <v>0</v>
      </c>
      <c r="K345" s="614">
        <f t="shared" si="10"/>
        <v>1044340</v>
      </c>
      <c r="L345" s="614">
        <f t="shared" si="11"/>
        <v>1044340</v>
      </c>
    </row>
    <row r="346" spans="1:12" ht="30" customHeight="1">
      <c r="A346" s="241" t="s">
        <v>64</v>
      </c>
      <c r="B346" s="273" t="s">
        <v>392</v>
      </c>
      <c r="C346" s="273" t="s">
        <v>459</v>
      </c>
      <c r="D346" s="271" t="s">
        <v>228</v>
      </c>
      <c r="E346" s="226"/>
      <c r="F346" s="226"/>
      <c r="G346" s="242"/>
      <c r="H346" s="242"/>
      <c r="I346" s="242"/>
      <c r="J346" s="326"/>
      <c r="K346" s="614">
        <f t="shared" si="10"/>
        <v>0</v>
      </c>
      <c r="L346" s="614">
        <f t="shared" si="11"/>
        <v>0</v>
      </c>
    </row>
    <row r="347" spans="1:12" ht="30" customHeight="1">
      <c r="A347" s="241" t="s">
        <v>64</v>
      </c>
      <c r="B347" s="273" t="s">
        <v>392</v>
      </c>
      <c r="C347" s="273" t="s">
        <v>459</v>
      </c>
      <c r="D347" s="188">
        <v>60100</v>
      </c>
      <c r="E347" s="192" t="s">
        <v>7</v>
      </c>
      <c r="F347" s="226"/>
      <c r="G347" s="242">
        <v>470000</v>
      </c>
      <c r="H347" s="242"/>
      <c r="I347" s="242">
        <v>470000</v>
      </c>
      <c r="J347" s="326"/>
      <c r="K347" s="614">
        <f t="shared" si="10"/>
        <v>470000</v>
      </c>
      <c r="L347" s="614">
        <f t="shared" si="11"/>
        <v>470000</v>
      </c>
    </row>
    <row r="348" spans="1:12" ht="30" customHeight="1">
      <c r="A348" s="241" t="s">
        <v>64</v>
      </c>
      <c r="B348" s="273" t="s">
        <v>392</v>
      </c>
      <c r="C348" s="273" t="s">
        <v>459</v>
      </c>
      <c r="D348" s="188">
        <v>6122</v>
      </c>
      <c r="E348" s="235" t="s">
        <v>582</v>
      </c>
      <c r="F348" s="226"/>
      <c r="G348" s="242">
        <v>376000</v>
      </c>
      <c r="H348" s="242"/>
      <c r="I348" s="242">
        <v>376000</v>
      </c>
      <c r="J348" s="326"/>
      <c r="K348" s="614">
        <f t="shared" si="10"/>
        <v>376000</v>
      </c>
      <c r="L348" s="614">
        <f t="shared" si="11"/>
        <v>376000</v>
      </c>
    </row>
    <row r="349" spans="1:12" ht="30" customHeight="1">
      <c r="A349" s="241" t="s">
        <v>64</v>
      </c>
      <c r="B349" s="273" t="s">
        <v>392</v>
      </c>
      <c r="C349" s="273" t="s">
        <v>459</v>
      </c>
      <c r="D349" s="257" t="s">
        <v>20</v>
      </c>
      <c r="E349" s="226"/>
      <c r="F349" s="98">
        <f>SUBTOTAL(109,F347:F348)</f>
        <v>0</v>
      </c>
      <c r="G349" s="98">
        <f>SUBTOTAL(109,G347:G348)</f>
        <v>846000</v>
      </c>
      <c r="H349" s="98">
        <f>SUBTOTAL(109,H347:H348)</f>
        <v>0</v>
      </c>
      <c r="I349" s="98">
        <f>SUBTOTAL(109,I347:I348)</f>
        <v>846000</v>
      </c>
      <c r="J349" s="581">
        <f>SUBTOTAL(109,J347:J348)</f>
        <v>0</v>
      </c>
      <c r="K349" s="614">
        <f t="shared" si="10"/>
        <v>846000</v>
      </c>
      <c r="L349" s="614">
        <f t="shared" si="11"/>
        <v>846000</v>
      </c>
    </row>
    <row r="350" spans="1:12" ht="30" customHeight="1">
      <c r="A350" s="241" t="s">
        <v>64</v>
      </c>
      <c r="B350" s="273" t="s">
        <v>393</v>
      </c>
      <c r="C350" s="273" t="s">
        <v>477</v>
      </c>
      <c r="D350" s="271" t="s">
        <v>74</v>
      </c>
      <c r="E350" s="226"/>
      <c r="F350" s="226"/>
      <c r="G350" s="242"/>
      <c r="H350" s="242"/>
      <c r="I350" s="242"/>
      <c r="J350" s="326"/>
      <c r="K350" s="614">
        <f t="shared" si="10"/>
        <v>0</v>
      </c>
      <c r="L350" s="614">
        <f t="shared" si="11"/>
        <v>0</v>
      </c>
    </row>
    <row r="351" spans="1:12" ht="30" customHeight="1">
      <c r="A351" s="241" t="s">
        <v>64</v>
      </c>
      <c r="B351" s="273" t="s">
        <v>393</v>
      </c>
      <c r="C351" s="273" t="s">
        <v>477</v>
      </c>
      <c r="D351" s="188">
        <v>60100</v>
      </c>
      <c r="E351" s="192" t="s">
        <v>7</v>
      </c>
      <c r="F351" s="226"/>
      <c r="G351" s="242">
        <v>470000</v>
      </c>
      <c r="H351" s="242"/>
      <c r="I351" s="242">
        <v>470000</v>
      </c>
      <c r="J351" s="326"/>
      <c r="K351" s="614">
        <f t="shared" si="10"/>
        <v>470000</v>
      </c>
      <c r="L351" s="614">
        <f t="shared" si="11"/>
        <v>470000</v>
      </c>
    </row>
    <row r="352" spans="1:12" ht="30" customHeight="1">
      <c r="A352" s="241" t="s">
        <v>64</v>
      </c>
      <c r="B352" s="273" t="s">
        <v>393</v>
      </c>
      <c r="C352" s="273" t="s">
        <v>477</v>
      </c>
      <c r="D352" s="188">
        <v>7176</v>
      </c>
      <c r="E352" s="192" t="s">
        <v>75</v>
      </c>
      <c r="F352" s="226"/>
      <c r="G352" s="242">
        <v>0</v>
      </c>
      <c r="H352" s="242"/>
      <c r="I352" s="242"/>
      <c r="J352" s="326"/>
      <c r="K352" s="614">
        <f t="shared" si="10"/>
        <v>0</v>
      </c>
      <c r="L352" s="614">
        <f t="shared" si="11"/>
        <v>0</v>
      </c>
    </row>
    <row r="353" spans="1:12" ht="30" customHeight="1">
      <c r="A353" s="241" t="s">
        <v>64</v>
      </c>
      <c r="B353" s="273" t="s">
        <v>393</v>
      </c>
      <c r="C353" s="273" t="s">
        <v>477</v>
      </c>
      <c r="D353" s="188">
        <v>6041</v>
      </c>
      <c r="E353" s="192" t="s">
        <v>8</v>
      </c>
      <c r="F353" s="226"/>
      <c r="G353" s="242"/>
      <c r="H353" s="242"/>
      <c r="I353" s="242"/>
      <c r="J353" s="326"/>
      <c r="K353" s="614">
        <f t="shared" si="10"/>
        <v>0</v>
      </c>
      <c r="L353" s="614">
        <f t="shared" si="11"/>
        <v>0</v>
      </c>
    </row>
    <row r="354" spans="1:12" ht="30" customHeight="1">
      <c r="A354" s="241" t="s">
        <v>64</v>
      </c>
      <c r="B354" s="273" t="s">
        <v>393</v>
      </c>
      <c r="C354" s="273" t="s">
        <v>477</v>
      </c>
      <c r="D354" s="188">
        <v>6122</v>
      </c>
      <c r="E354" s="235" t="s">
        <v>582</v>
      </c>
      <c r="F354" s="226"/>
      <c r="G354" s="242">
        <v>376000</v>
      </c>
      <c r="H354" s="242"/>
      <c r="I354" s="242">
        <v>376000</v>
      </c>
      <c r="J354" s="326"/>
      <c r="K354" s="614">
        <f t="shared" si="10"/>
        <v>376000</v>
      </c>
      <c r="L354" s="614">
        <f t="shared" si="11"/>
        <v>376000</v>
      </c>
    </row>
    <row r="355" spans="1:12" ht="30" customHeight="1">
      <c r="A355" s="241" t="s">
        <v>64</v>
      </c>
      <c r="B355" s="273" t="s">
        <v>393</v>
      </c>
      <c r="C355" s="273" t="s">
        <v>477</v>
      </c>
      <c r="D355" s="188">
        <v>6152</v>
      </c>
      <c r="E355" s="192" t="s">
        <v>263</v>
      </c>
      <c r="F355" s="226"/>
      <c r="G355" s="242"/>
      <c r="H355" s="242"/>
      <c r="I355" s="242"/>
      <c r="J355" s="326"/>
      <c r="K355" s="614">
        <f t="shared" si="10"/>
        <v>0</v>
      </c>
      <c r="L355" s="614">
        <f t="shared" si="11"/>
        <v>0</v>
      </c>
    </row>
    <row r="356" spans="1:12" ht="30" customHeight="1">
      <c r="A356" s="241" t="s">
        <v>64</v>
      </c>
      <c r="B356" s="273" t="s">
        <v>393</v>
      </c>
      <c r="C356" s="273" t="s">
        <v>477</v>
      </c>
      <c r="D356" s="257" t="s">
        <v>20</v>
      </c>
      <c r="E356" s="226"/>
      <c r="F356" s="98">
        <f>SUBTOTAL(109,F351:F354)</f>
        <v>0</v>
      </c>
      <c r="G356" s="98">
        <f>SUBTOTAL(109,G351:G354)</f>
        <v>846000</v>
      </c>
      <c r="H356" s="98">
        <f>SUBTOTAL(109,H351:H354)</f>
        <v>0</v>
      </c>
      <c r="I356" s="98">
        <f>SUBTOTAL(109,I351:I354)</f>
        <v>846000</v>
      </c>
      <c r="J356" s="581">
        <f>SUBTOTAL(109,J351:J354)</f>
        <v>0</v>
      </c>
      <c r="K356" s="614">
        <f t="shared" si="10"/>
        <v>846000</v>
      </c>
      <c r="L356" s="614">
        <f t="shared" si="11"/>
        <v>846000</v>
      </c>
    </row>
    <row r="357" spans="1:12" ht="30" customHeight="1">
      <c r="A357" s="241" t="s">
        <v>64</v>
      </c>
      <c r="B357" s="273" t="s">
        <v>394</v>
      </c>
      <c r="C357" s="273" t="s">
        <v>459</v>
      </c>
      <c r="D357" s="271" t="s">
        <v>76</v>
      </c>
      <c r="E357" s="226"/>
      <c r="F357" s="226"/>
      <c r="G357" s="242"/>
      <c r="H357" s="242"/>
      <c r="I357" s="242"/>
      <c r="J357" s="326"/>
      <c r="K357" s="614">
        <f t="shared" si="10"/>
        <v>0</v>
      </c>
      <c r="L357" s="614">
        <f t="shared" si="11"/>
        <v>0</v>
      </c>
    </row>
    <row r="358" spans="1:12" ht="30" customHeight="1">
      <c r="A358" s="241" t="s">
        <v>64</v>
      </c>
      <c r="B358" s="273" t="s">
        <v>394</v>
      </c>
      <c r="C358" s="273" t="s">
        <v>459</v>
      </c>
      <c r="D358" s="188">
        <v>60100</v>
      </c>
      <c r="E358" s="192" t="s">
        <v>7</v>
      </c>
      <c r="F358" s="226"/>
      <c r="G358" s="242"/>
      <c r="H358" s="242"/>
      <c r="I358" s="242"/>
      <c r="J358" s="326"/>
      <c r="K358" s="614">
        <f t="shared" si="10"/>
        <v>0</v>
      </c>
      <c r="L358" s="614">
        <f t="shared" si="11"/>
        <v>0</v>
      </c>
    </row>
    <row r="359" spans="1:12" ht="30" customHeight="1">
      <c r="A359" s="241" t="s">
        <v>64</v>
      </c>
      <c r="B359" s="273" t="s">
        <v>394</v>
      </c>
      <c r="C359" s="273" t="s">
        <v>459</v>
      </c>
      <c r="D359" s="188">
        <v>6122</v>
      </c>
      <c r="E359" s="235" t="s">
        <v>582</v>
      </c>
      <c r="F359" s="226"/>
      <c r="G359" s="242"/>
      <c r="H359" s="242"/>
      <c r="I359" s="242"/>
      <c r="J359" s="326"/>
      <c r="K359" s="614">
        <f t="shared" si="10"/>
        <v>0</v>
      </c>
      <c r="L359" s="614">
        <f t="shared" si="11"/>
        <v>0</v>
      </c>
    </row>
    <row r="360" spans="1:12" ht="30" customHeight="1">
      <c r="A360" s="241" t="s">
        <v>64</v>
      </c>
      <c r="B360" s="273" t="s">
        <v>394</v>
      </c>
      <c r="C360" s="273" t="s">
        <v>459</v>
      </c>
      <c r="D360" s="257" t="s">
        <v>20</v>
      </c>
      <c r="E360" s="226"/>
      <c r="F360" s="226"/>
      <c r="G360" s="98">
        <f>SUBTOTAL(109,G358:G359)</f>
        <v>0</v>
      </c>
      <c r="H360" s="98"/>
      <c r="I360" s="98"/>
      <c r="J360" s="326"/>
      <c r="K360" s="614">
        <f t="shared" si="10"/>
        <v>0</v>
      </c>
      <c r="L360" s="614">
        <f t="shared" si="11"/>
        <v>0</v>
      </c>
    </row>
    <row r="361" spans="1:12" ht="30" customHeight="1">
      <c r="A361" s="241" t="s">
        <v>64</v>
      </c>
      <c r="B361" s="273" t="s">
        <v>395</v>
      </c>
      <c r="C361" s="273" t="s">
        <v>459</v>
      </c>
      <c r="D361" s="271" t="s">
        <v>77</v>
      </c>
      <c r="E361" s="192"/>
      <c r="F361" s="226"/>
      <c r="G361" s="242"/>
      <c r="H361" s="242"/>
      <c r="I361" s="242"/>
      <c r="J361" s="326"/>
      <c r="K361" s="614">
        <f t="shared" si="10"/>
        <v>0</v>
      </c>
      <c r="L361" s="614">
        <f t="shared" si="11"/>
        <v>0</v>
      </c>
    </row>
    <row r="362" spans="1:12" ht="30" customHeight="1">
      <c r="A362" s="241" t="s">
        <v>64</v>
      </c>
      <c r="B362" s="273" t="s">
        <v>395</v>
      </c>
      <c r="C362" s="273" t="s">
        <v>459</v>
      </c>
      <c r="D362" s="188">
        <v>6611</v>
      </c>
      <c r="E362" s="192" t="s">
        <v>6</v>
      </c>
      <c r="F362" s="226"/>
      <c r="G362" s="242">
        <v>29040396</v>
      </c>
      <c r="H362" s="267">
        <v>24784966.810000002</v>
      </c>
      <c r="I362" s="242">
        <v>29040396</v>
      </c>
      <c r="J362" s="326"/>
      <c r="K362" s="614">
        <f t="shared" si="10"/>
        <v>29040396</v>
      </c>
      <c r="L362" s="614">
        <f t="shared" si="11"/>
        <v>4255429.189999998</v>
      </c>
    </row>
    <row r="363" spans="1:12" ht="30" customHeight="1">
      <c r="A363" s="241" t="s">
        <v>64</v>
      </c>
      <c r="B363" s="273" t="s">
        <v>395</v>
      </c>
      <c r="C363" s="273" t="s">
        <v>459</v>
      </c>
      <c r="D363" s="188">
        <v>60100</v>
      </c>
      <c r="E363" s="192" t="s">
        <v>7</v>
      </c>
      <c r="F363" s="226"/>
      <c r="G363" s="242">
        <v>664580</v>
      </c>
      <c r="H363" s="242"/>
      <c r="I363" s="242">
        <v>664580</v>
      </c>
      <c r="J363" s="326"/>
      <c r="K363" s="614">
        <f t="shared" si="10"/>
        <v>664580</v>
      </c>
      <c r="L363" s="614">
        <f t="shared" si="11"/>
        <v>664580</v>
      </c>
    </row>
    <row r="364" spans="1:12" ht="30" customHeight="1">
      <c r="A364" s="241" t="s">
        <v>64</v>
      </c>
      <c r="B364" s="273" t="s">
        <v>395</v>
      </c>
      <c r="C364" s="273" t="s">
        <v>459</v>
      </c>
      <c r="D364" s="188">
        <v>60101</v>
      </c>
      <c r="E364" s="192" t="s">
        <v>264</v>
      </c>
      <c r="F364" s="226"/>
      <c r="G364" s="242">
        <v>474700</v>
      </c>
      <c r="H364" s="242"/>
      <c r="I364" s="242">
        <v>474700</v>
      </c>
      <c r="J364" s="326"/>
      <c r="K364" s="614">
        <f t="shared" si="10"/>
        <v>474700</v>
      </c>
      <c r="L364" s="614">
        <f t="shared" si="11"/>
        <v>474700</v>
      </c>
    </row>
    <row r="365" spans="1:12" ht="30" customHeight="1">
      <c r="A365" s="241" t="s">
        <v>64</v>
      </c>
      <c r="B365" s="273" t="s">
        <v>395</v>
      </c>
      <c r="C365" s="273" t="s">
        <v>459</v>
      </c>
      <c r="D365" s="188">
        <v>6041</v>
      </c>
      <c r="E365" s="192" t="s">
        <v>8</v>
      </c>
      <c r="F365" s="226"/>
      <c r="G365" s="242"/>
      <c r="H365" s="242"/>
      <c r="I365" s="242"/>
      <c r="J365" s="326"/>
      <c r="K365" s="614">
        <f t="shared" si="10"/>
        <v>0</v>
      </c>
      <c r="L365" s="614">
        <f t="shared" si="11"/>
        <v>0</v>
      </c>
    </row>
    <row r="366" spans="1:12" ht="30" customHeight="1">
      <c r="A366" s="241" t="s">
        <v>64</v>
      </c>
      <c r="B366" s="273" t="s">
        <v>395</v>
      </c>
      <c r="C366" s="273" t="s">
        <v>459</v>
      </c>
      <c r="D366" s="188">
        <v>6122</v>
      </c>
      <c r="E366" s="235" t="s">
        <v>582</v>
      </c>
      <c r="F366" s="226"/>
      <c r="G366" s="242">
        <v>379760</v>
      </c>
      <c r="H366" s="242"/>
      <c r="I366" s="242">
        <v>379760</v>
      </c>
      <c r="J366" s="326"/>
      <c r="K366" s="614">
        <f t="shared" si="10"/>
        <v>379760</v>
      </c>
      <c r="L366" s="614">
        <f t="shared" si="11"/>
        <v>379760</v>
      </c>
    </row>
    <row r="367" spans="1:12" ht="30" customHeight="1">
      <c r="A367" s="241" t="s">
        <v>64</v>
      </c>
      <c r="B367" s="273" t="s">
        <v>395</v>
      </c>
      <c r="C367" s="273" t="s">
        <v>459</v>
      </c>
      <c r="D367" s="257" t="s">
        <v>20</v>
      </c>
      <c r="E367" s="226"/>
      <c r="F367" s="226"/>
      <c r="G367" s="98">
        <f>SUBTOTAL(109,G362:G366)</f>
        <v>30559436</v>
      </c>
      <c r="H367" s="98">
        <f>SUBTOTAL(109,H362:H366)</f>
        <v>24784966.810000002</v>
      </c>
      <c r="I367" s="98">
        <f>SUBTOTAL(109,I362:I366)</f>
        <v>30559436</v>
      </c>
      <c r="J367" s="581">
        <f>SUBTOTAL(109,J362:J366)</f>
        <v>0</v>
      </c>
      <c r="K367" s="614">
        <f t="shared" si="10"/>
        <v>30559436</v>
      </c>
      <c r="L367" s="614">
        <f t="shared" si="11"/>
        <v>5774469.189999998</v>
      </c>
    </row>
    <row r="368" spans="1:12" ht="30" customHeight="1">
      <c r="A368" s="241" t="s">
        <v>64</v>
      </c>
      <c r="B368" s="273" t="s">
        <v>396</v>
      </c>
      <c r="C368" s="273" t="s">
        <v>459</v>
      </c>
      <c r="D368" s="271" t="s">
        <v>78</v>
      </c>
      <c r="E368" s="226"/>
      <c r="F368" s="226"/>
      <c r="G368" s="242"/>
      <c r="H368" s="242"/>
      <c r="I368" s="242"/>
      <c r="J368" s="326"/>
      <c r="K368" s="614">
        <f t="shared" si="10"/>
        <v>0</v>
      </c>
      <c r="L368" s="614">
        <f t="shared" si="11"/>
        <v>0</v>
      </c>
    </row>
    <row r="369" spans="1:12" ht="30" customHeight="1">
      <c r="A369" s="241" t="s">
        <v>64</v>
      </c>
      <c r="B369" s="273" t="s">
        <v>396</v>
      </c>
      <c r="C369" s="273" t="s">
        <v>459</v>
      </c>
      <c r="D369" s="188">
        <v>6611</v>
      </c>
      <c r="E369" s="192" t="s">
        <v>6</v>
      </c>
      <c r="F369" s="226">
        <v>11</v>
      </c>
      <c r="G369" s="242">
        <v>21085066</v>
      </c>
      <c r="H369" s="242">
        <v>21075799.849999998</v>
      </c>
      <c r="I369" s="242">
        <f>17372000+3713066</f>
        <v>21085066</v>
      </c>
      <c r="J369" s="326"/>
      <c r="K369" s="614">
        <f t="shared" si="10"/>
        <v>21085066</v>
      </c>
      <c r="L369" s="614">
        <f t="shared" si="11"/>
        <v>9266.150000002235</v>
      </c>
    </row>
    <row r="370" spans="1:12" ht="30" customHeight="1">
      <c r="A370" s="241" t="s">
        <v>64</v>
      </c>
      <c r="B370" s="273" t="s">
        <v>396</v>
      </c>
      <c r="C370" s="273" t="s">
        <v>459</v>
      </c>
      <c r="D370" s="188">
        <v>60100</v>
      </c>
      <c r="E370" s="192" t="s">
        <v>7</v>
      </c>
      <c r="F370" s="226"/>
      <c r="G370" s="242">
        <v>664580</v>
      </c>
      <c r="H370" s="242">
        <v>664575</v>
      </c>
      <c r="I370" s="242">
        <v>664580</v>
      </c>
      <c r="J370" s="326"/>
      <c r="K370" s="614">
        <f t="shared" si="10"/>
        <v>664580</v>
      </c>
      <c r="L370" s="614">
        <f t="shared" si="11"/>
        <v>5</v>
      </c>
    </row>
    <row r="371" spans="1:12" ht="30" customHeight="1">
      <c r="A371" s="241" t="s">
        <v>64</v>
      </c>
      <c r="B371" s="273" t="s">
        <v>396</v>
      </c>
      <c r="C371" s="273" t="s">
        <v>459</v>
      </c>
      <c r="D371" s="188">
        <v>6122</v>
      </c>
      <c r="E371" s="235" t="s">
        <v>582</v>
      </c>
      <c r="F371" s="226"/>
      <c r="G371" s="242">
        <v>474700</v>
      </c>
      <c r="H371" s="242">
        <v>474700</v>
      </c>
      <c r="I371" s="242">
        <v>474700</v>
      </c>
      <c r="J371" s="326"/>
      <c r="K371" s="614">
        <f t="shared" si="10"/>
        <v>474700</v>
      </c>
      <c r="L371" s="614">
        <f t="shared" si="11"/>
        <v>0</v>
      </c>
    </row>
    <row r="372" spans="1:12" ht="30" customHeight="1">
      <c r="A372" s="241" t="s">
        <v>64</v>
      </c>
      <c r="B372" s="273" t="s">
        <v>396</v>
      </c>
      <c r="C372" s="273" t="s">
        <v>459</v>
      </c>
      <c r="D372" s="188">
        <v>6133</v>
      </c>
      <c r="E372" s="192" t="s">
        <v>79</v>
      </c>
      <c r="F372" s="226"/>
      <c r="G372" s="242">
        <v>474700</v>
      </c>
      <c r="H372" s="242">
        <v>474700</v>
      </c>
      <c r="I372" s="242">
        <v>474700</v>
      </c>
      <c r="J372" s="326"/>
      <c r="K372" s="614">
        <f t="shared" si="10"/>
        <v>474700</v>
      </c>
      <c r="L372" s="614">
        <f t="shared" si="11"/>
        <v>0</v>
      </c>
    </row>
    <row r="373" spans="1:12" ht="18">
      <c r="A373" s="241" t="s">
        <v>64</v>
      </c>
      <c r="B373" s="273" t="s">
        <v>396</v>
      </c>
      <c r="C373" s="273" t="s">
        <v>459</v>
      </c>
      <c r="D373" s="188">
        <v>6381</v>
      </c>
      <c r="E373" s="194" t="s">
        <v>591</v>
      </c>
      <c r="F373" s="253"/>
      <c r="G373" s="242">
        <v>28724040</v>
      </c>
      <c r="H373" s="242">
        <v>28720000</v>
      </c>
      <c r="I373" s="242">
        <f>26280000*(1+9.3%)</f>
        <v>28724040</v>
      </c>
      <c r="J373" s="326"/>
      <c r="K373" s="614">
        <f t="shared" si="10"/>
        <v>28724040</v>
      </c>
      <c r="L373" s="614">
        <f t="shared" si="11"/>
        <v>4040</v>
      </c>
    </row>
    <row r="374" spans="1:12" ht="30" customHeight="1">
      <c r="A374" s="241" t="s">
        <v>64</v>
      </c>
      <c r="B374" s="273" t="s">
        <v>396</v>
      </c>
      <c r="C374" s="273" t="s">
        <v>459</v>
      </c>
      <c r="D374" s="257" t="s">
        <v>20</v>
      </c>
      <c r="E374" s="226"/>
      <c r="F374" s="98">
        <f>SUBTOTAL(109,F369:F373)</f>
        <v>11</v>
      </c>
      <c r="G374" s="98">
        <f>SUBTOTAL(109,G369:G373)</f>
        <v>51423086</v>
      </c>
      <c r="H374" s="98">
        <f>SUBTOTAL(109,H369:H373)</f>
        <v>51409774.849999994</v>
      </c>
      <c r="I374" s="98">
        <f>SUBTOTAL(109,I369:I373)</f>
        <v>51423086</v>
      </c>
      <c r="J374" s="581">
        <f>SUBTOTAL(109,J369:J373)</f>
        <v>0</v>
      </c>
      <c r="K374" s="614">
        <f t="shared" si="10"/>
        <v>51423086</v>
      </c>
      <c r="L374" s="614">
        <f t="shared" si="11"/>
        <v>13311.15000000596</v>
      </c>
    </row>
    <row r="375" spans="1:12" ht="30" customHeight="1">
      <c r="A375" s="241" t="s">
        <v>64</v>
      </c>
      <c r="B375" s="273" t="s">
        <v>397</v>
      </c>
      <c r="C375" s="273" t="s">
        <v>478</v>
      </c>
      <c r="D375" s="271" t="s">
        <v>80</v>
      </c>
      <c r="E375" s="226"/>
      <c r="F375" s="226"/>
      <c r="G375" s="242"/>
      <c r="H375" s="242"/>
      <c r="I375" s="242"/>
      <c r="J375" s="326"/>
      <c r="K375" s="614">
        <f t="shared" si="10"/>
        <v>0</v>
      </c>
      <c r="L375" s="614">
        <f t="shared" si="11"/>
        <v>0</v>
      </c>
    </row>
    <row r="376" spans="1:12" ht="30" customHeight="1">
      <c r="A376" s="241" t="s">
        <v>64</v>
      </c>
      <c r="B376" s="273" t="s">
        <v>397</v>
      </c>
      <c r="C376" s="273" t="s">
        <v>478</v>
      </c>
      <c r="D376" s="188">
        <v>60100</v>
      </c>
      <c r="E376" s="192" t="s">
        <v>7</v>
      </c>
      <c r="F376" s="226"/>
      <c r="G376" s="242">
        <v>846000</v>
      </c>
      <c r="H376" s="242"/>
      <c r="I376" s="242">
        <f>846000</f>
        <v>846000</v>
      </c>
      <c r="J376" s="326"/>
      <c r="K376" s="614">
        <f t="shared" si="10"/>
        <v>846000</v>
      </c>
      <c r="L376" s="614">
        <f t="shared" si="11"/>
        <v>846000</v>
      </c>
    </row>
    <row r="377" spans="1:12" ht="30" customHeight="1">
      <c r="A377" s="241" t="s">
        <v>64</v>
      </c>
      <c r="B377" s="273" t="s">
        <v>397</v>
      </c>
      <c r="C377" s="273" t="s">
        <v>478</v>
      </c>
      <c r="D377" s="188">
        <v>6122</v>
      </c>
      <c r="E377" s="235" t="s">
        <v>582</v>
      </c>
      <c r="F377" s="226"/>
      <c r="G377" s="242">
        <v>564000</v>
      </c>
      <c r="H377" s="242">
        <v>320000</v>
      </c>
      <c r="I377" s="242">
        <v>564000</v>
      </c>
      <c r="J377" s="326"/>
      <c r="K377" s="614">
        <f t="shared" si="10"/>
        <v>564000</v>
      </c>
      <c r="L377" s="614">
        <f t="shared" si="11"/>
        <v>244000</v>
      </c>
    </row>
    <row r="378" spans="1:12" ht="30" customHeight="1">
      <c r="A378" s="241" t="s">
        <v>64</v>
      </c>
      <c r="B378" s="273" t="s">
        <v>397</v>
      </c>
      <c r="C378" s="273" t="s">
        <v>478</v>
      </c>
      <c r="D378" s="257" t="s">
        <v>20</v>
      </c>
      <c r="E378" s="226"/>
      <c r="F378" s="226"/>
      <c r="G378" s="98">
        <f>SUBTOTAL(109,G376:G377)</f>
        <v>1410000</v>
      </c>
      <c r="H378" s="98">
        <f>SUBTOTAL(109,H376:H377)</f>
        <v>320000</v>
      </c>
      <c r="I378" s="98">
        <f>SUBTOTAL(109,I376:I377)</f>
        <v>1410000</v>
      </c>
      <c r="J378" s="581">
        <f>SUBTOTAL(109,J376:J377)</f>
        <v>0</v>
      </c>
      <c r="K378" s="614">
        <f t="shared" si="10"/>
        <v>1410000</v>
      </c>
      <c r="L378" s="614">
        <f t="shared" si="11"/>
        <v>1090000</v>
      </c>
    </row>
    <row r="379" spans="1:12" ht="30" customHeight="1">
      <c r="A379" s="241" t="s">
        <v>64</v>
      </c>
      <c r="B379" s="273" t="s">
        <v>398</v>
      </c>
      <c r="C379" s="273" t="s">
        <v>459</v>
      </c>
      <c r="D379" s="195" t="s">
        <v>320</v>
      </c>
      <c r="E379" s="227"/>
      <c r="F379" s="226"/>
      <c r="G379" s="98"/>
      <c r="H379" s="267"/>
      <c r="I379" s="98"/>
      <c r="J379" s="326"/>
      <c r="K379" s="614">
        <f t="shared" si="10"/>
        <v>0</v>
      </c>
      <c r="L379" s="614">
        <f t="shared" si="11"/>
        <v>0</v>
      </c>
    </row>
    <row r="380" spans="1:12" ht="30" customHeight="1">
      <c r="A380" s="241" t="s">
        <v>64</v>
      </c>
      <c r="B380" s="273" t="s">
        <v>398</v>
      </c>
      <c r="C380" s="273" t="s">
        <v>459</v>
      </c>
      <c r="D380" s="188">
        <v>6611</v>
      </c>
      <c r="E380" s="192" t="s">
        <v>6</v>
      </c>
      <c r="F380" s="226"/>
      <c r="G380" s="242">
        <v>7920000</v>
      </c>
      <c r="H380" s="242">
        <v>7249166.749999999</v>
      </c>
      <c r="I380" s="242">
        <v>7920000</v>
      </c>
      <c r="J380" s="326"/>
      <c r="K380" s="614">
        <f t="shared" si="10"/>
        <v>7920000</v>
      </c>
      <c r="L380" s="614">
        <f t="shared" si="11"/>
        <v>670833.2500000009</v>
      </c>
    </row>
    <row r="381" spans="1:12" ht="30" customHeight="1">
      <c r="A381" s="241" t="s">
        <v>64</v>
      </c>
      <c r="B381" s="273" t="s">
        <v>398</v>
      </c>
      <c r="C381" s="273" t="s">
        <v>459</v>
      </c>
      <c r="D381" s="188">
        <v>60100</v>
      </c>
      <c r="E381" s="192" t="s">
        <v>47</v>
      </c>
      <c r="F381" s="226"/>
      <c r="G381" s="242">
        <v>759520</v>
      </c>
      <c r="H381" s="242">
        <v>269500</v>
      </c>
      <c r="I381" s="242">
        <f>759520</f>
        <v>759520</v>
      </c>
      <c r="J381" s="326"/>
      <c r="K381" s="614">
        <f t="shared" si="10"/>
        <v>759520</v>
      </c>
      <c r="L381" s="614">
        <f t="shared" si="11"/>
        <v>490020</v>
      </c>
    </row>
    <row r="382" spans="1:12" ht="30" customHeight="1">
      <c r="A382" s="241" t="s">
        <v>64</v>
      </c>
      <c r="B382" s="273" t="s">
        <v>398</v>
      </c>
      <c r="C382" s="273" t="s">
        <v>459</v>
      </c>
      <c r="D382" s="188">
        <v>6122</v>
      </c>
      <c r="E382" s="235" t="s">
        <v>582</v>
      </c>
      <c r="F382" s="226"/>
      <c r="G382" s="242">
        <v>569640</v>
      </c>
      <c r="H382" s="242">
        <v>530500</v>
      </c>
      <c r="I382" s="242">
        <v>569640</v>
      </c>
      <c r="J382" s="326"/>
      <c r="K382" s="614">
        <f t="shared" si="10"/>
        <v>569640</v>
      </c>
      <c r="L382" s="614">
        <f t="shared" si="11"/>
        <v>39140</v>
      </c>
    </row>
    <row r="383" spans="1:12" ht="30" customHeight="1">
      <c r="A383" s="241" t="s">
        <v>64</v>
      </c>
      <c r="B383" s="273" t="s">
        <v>398</v>
      </c>
      <c r="C383" s="273" t="s">
        <v>459</v>
      </c>
      <c r="D383" s="257" t="s">
        <v>20</v>
      </c>
      <c r="E383" s="226"/>
      <c r="F383" s="226"/>
      <c r="G383" s="98">
        <f>SUM(G380:G382)</f>
        <v>9249160</v>
      </c>
      <c r="H383" s="98">
        <f>SUM(H380:H382)</f>
        <v>8049166.749999999</v>
      </c>
      <c r="I383" s="98">
        <f>SUM(I380:I382)</f>
        <v>9249160</v>
      </c>
      <c r="J383" s="326"/>
      <c r="K383" s="614">
        <f t="shared" si="10"/>
        <v>9249160</v>
      </c>
      <c r="L383" s="614">
        <f t="shared" si="11"/>
        <v>1199993.250000001</v>
      </c>
    </row>
    <row r="384" spans="1:12" ht="30" customHeight="1">
      <c r="A384" s="241" t="s">
        <v>64</v>
      </c>
      <c r="B384" s="273" t="s">
        <v>399</v>
      </c>
      <c r="C384" s="273" t="s">
        <v>459</v>
      </c>
      <c r="D384" s="254" t="s">
        <v>302</v>
      </c>
      <c r="E384" s="226"/>
      <c r="F384" s="226"/>
      <c r="G384" s="242"/>
      <c r="H384" s="242"/>
      <c r="I384" s="242"/>
      <c r="J384" s="326"/>
      <c r="K384" s="614">
        <f t="shared" si="10"/>
        <v>0</v>
      </c>
      <c r="L384" s="614">
        <f t="shared" si="11"/>
        <v>0</v>
      </c>
    </row>
    <row r="385" spans="1:12" ht="30" customHeight="1">
      <c r="A385" s="241" t="s">
        <v>64</v>
      </c>
      <c r="B385" s="273" t="s">
        <v>399</v>
      </c>
      <c r="C385" s="273" t="s">
        <v>459</v>
      </c>
      <c r="D385" s="188">
        <v>6611</v>
      </c>
      <c r="E385" s="192" t="s">
        <v>6</v>
      </c>
      <c r="F385" s="226">
        <v>9</v>
      </c>
      <c r="G385" s="242">
        <v>19037600</v>
      </c>
      <c r="H385" s="242">
        <v>11515633.35</v>
      </c>
      <c r="I385" s="242">
        <f>17972400+1065200</f>
        <v>19037600</v>
      </c>
      <c r="J385" s="326"/>
      <c r="K385" s="614">
        <f t="shared" si="10"/>
        <v>19037600</v>
      </c>
      <c r="L385" s="614">
        <f t="shared" si="11"/>
        <v>7521966.65</v>
      </c>
    </row>
    <row r="386" spans="1:12" ht="30" customHeight="1">
      <c r="A386" s="241" t="s">
        <v>64</v>
      </c>
      <c r="B386" s="273" t="s">
        <v>399</v>
      </c>
      <c r="C386" s="273" t="s">
        <v>459</v>
      </c>
      <c r="D386" s="188">
        <v>60100</v>
      </c>
      <c r="E386" s="192" t="s">
        <v>34</v>
      </c>
      <c r="F386" s="226"/>
      <c r="G386" s="242">
        <v>569640</v>
      </c>
      <c r="H386" s="242"/>
      <c r="I386" s="242">
        <v>569640</v>
      </c>
      <c r="J386" s="326"/>
      <c r="K386" s="614">
        <f t="shared" si="10"/>
        <v>569640</v>
      </c>
      <c r="L386" s="614">
        <f t="shared" si="11"/>
        <v>569640</v>
      </c>
    </row>
    <row r="387" spans="1:12" ht="30" customHeight="1">
      <c r="A387" s="241" t="s">
        <v>64</v>
      </c>
      <c r="B387" s="273" t="s">
        <v>399</v>
      </c>
      <c r="C387" s="273" t="s">
        <v>459</v>
      </c>
      <c r="D387" s="188">
        <v>6122</v>
      </c>
      <c r="E387" s="235" t="s">
        <v>582</v>
      </c>
      <c r="F387" s="253"/>
      <c r="G387" s="242">
        <v>474700</v>
      </c>
      <c r="H387" s="242"/>
      <c r="I387" s="242">
        <v>474700</v>
      </c>
      <c r="J387" s="326"/>
      <c r="K387" s="614">
        <f t="shared" si="10"/>
        <v>474700</v>
      </c>
      <c r="L387" s="614">
        <f t="shared" si="11"/>
        <v>474700</v>
      </c>
    </row>
    <row r="388" spans="1:12" ht="30" customHeight="1">
      <c r="A388" s="241" t="s">
        <v>64</v>
      </c>
      <c r="B388" s="273" t="s">
        <v>399</v>
      </c>
      <c r="C388" s="273" t="s">
        <v>459</v>
      </c>
      <c r="D388" s="257" t="s">
        <v>20</v>
      </c>
      <c r="E388" s="226"/>
      <c r="F388" s="98">
        <f>SUBTOTAL(109,F385:F387)</f>
        <v>9</v>
      </c>
      <c r="G388" s="98">
        <f>SUBTOTAL(109,G385:G387)</f>
        <v>20081940</v>
      </c>
      <c r="H388" s="98">
        <f>SUBTOTAL(109,H385:H387)</f>
        <v>11515633.35</v>
      </c>
      <c r="I388" s="98">
        <f>SUBTOTAL(109,I385:I387)</f>
        <v>20081940</v>
      </c>
      <c r="J388" s="326"/>
      <c r="K388" s="614">
        <f t="shared" si="10"/>
        <v>20081940</v>
      </c>
      <c r="L388" s="614">
        <f t="shared" si="11"/>
        <v>8566306.65</v>
      </c>
    </row>
    <row r="389" spans="1:12" ht="30" customHeight="1">
      <c r="A389" s="241" t="s">
        <v>64</v>
      </c>
      <c r="B389" s="273" t="s">
        <v>475</v>
      </c>
      <c r="C389" s="273" t="s">
        <v>459</v>
      </c>
      <c r="D389" s="195" t="s">
        <v>242</v>
      </c>
      <c r="E389" s="226"/>
      <c r="F389" s="226"/>
      <c r="G389" s="242"/>
      <c r="H389" s="242"/>
      <c r="I389" s="242"/>
      <c r="J389" s="326"/>
      <c r="K389" s="614">
        <f t="shared" si="10"/>
        <v>0</v>
      </c>
      <c r="L389" s="614">
        <f t="shared" si="11"/>
        <v>0</v>
      </c>
    </row>
    <row r="390" spans="1:12" ht="30" customHeight="1">
      <c r="A390" s="241" t="s">
        <v>64</v>
      </c>
      <c r="B390" s="273" t="s">
        <v>475</v>
      </c>
      <c r="C390" s="273" t="s">
        <v>459</v>
      </c>
      <c r="D390" s="188">
        <v>6611</v>
      </c>
      <c r="E390" s="192" t="s">
        <v>6</v>
      </c>
      <c r="F390" s="226"/>
      <c r="G390" s="242"/>
      <c r="H390" s="242"/>
      <c r="I390" s="242"/>
      <c r="J390" s="326"/>
      <c r="K390" s="614">
        <f aca="true" t="shared" si="12" ref="K390:K453">I390+J390</f>
        <v>0</v>
      </c>
      <c r="L390" s="614">
        <f t="shared" si="11"/>
        <v>0</v>
      </c>
    </row>
    <row r="391" spans="1:12" ht="30" customHeight="1">
      <c r="A391" s="241" t="s">
        <v>64</v>
      </c>
      <c r="B391" s="273" t="s">
        <v>475</v>
      </c>
      <c r="C391" s="273" t="s">
        <v>459</v>
      </c>
      <c r="D391" s="188">
        <v>60100</v>
      </c>
      <c r="E391" s="192" t="s">
        <v>7</v>
      </c>
      <c r="F391" s="226"/>
      <c r="G391" s="242">
        <v>1000000</v>
      </c>
      <c r="H391" s="242"/>
      <c r="I391" s="242">
        <v>1000000</v>
      </c>
      <c r="J391" s="326"/>
      <c r="K391" s="614">
        <f t="shared" si="12"/>
        <v>1000000</v>
      </c>
      <c r="L391" s="614">
        <f aca="true" t="shared" si="13" ref="L391:L454">K391-H391</f>
        <v>1000000</v>
      </c>
    </row>
    <row r="392" spans="1:12" ht="30" customHeight="1">
      <c r="A392" s="241" t="s">
        <v>64</v>
      </c>
      <c r="B392" s="273" t="s">
        <v>475</v>
      </c>
      <c r="C392" s="273" t="s">
        <v>459</v>
      </c>
      <c r="D392" s="188">
        <v>6041</v>
      </c>
      <c r="E392" s="192" t="s">
        <v>8</v>
      </c>
      <c r="F392" s="226"/>
      <c r="G392" s="242"/>
      <c r="H392" s="242"/>
      <c r="I392" s="242"/>
      <c r="J392" s="326"/>
      <c r="K392" s="614">
        <f t="shared" si="12"/>
        <v>0</v>
      </c>
      <c r="L392" s="614">
        <f t="shared" si="13"/>
        <v>0</v>
      </c>
    </row>
    <row r="393" spans="1:12" ht="30" customHeight="1">
      <c r="A393" s="241" t="s">
        <v>64</v>
      </c>
      <c r="B393" s="273" t="s">
        <v>475</v>
      </c>
      <c r="C393" s="273" t="s">
        <v>459</v>
      </c>
      <c r="D393" s="188">
        <v>6052</v>
      </c>
      <c r="E393" s="192" t="s">
        <v>592</v>
      </c>
      <c r="F393" s="226"/>
      <c r="G393" s="242"/>
      <c r="H393" s="242"/>
      <c r="I393" s="242"/>
      <c r="J393" s="326"/>
      <c r="K393" s="614">
        <f t="shared" si="12"/>
        <v>0</v>
      </c>
      <c r="L393" s="614">
        <f t="shared" si="13"/>
        <v>0</v>
      </c>
    </row>
    <row r="394" spans="1:12" ht="30" customHeight="1">
      <c r="A394" s="241" t="s">
        <v>64</v>
      </c>
      <c r="B394" s="273" t="s">
        <v>475</v>
      </c>
      <c r="C394" s="245"/>
      <c r="D394" s="188">
        <v>6122</v>
      </c>
      <c r="E394" s="192" t="s">
        <v>582</v>
      </c>
      <c r="F394" s="226"/>
      <c r="G394" s="242">
        <v>1000000</v>
      </c>
      <c r="H394" s="267">
        <v>450000</v>
      </c>
      <c r="I394" s="242">
        <v>1000000</v>
      </c>
      <c r="J394" s="326"/>
      <c r="K394" s="614">
        <f t="shared" si="12"/>
        <v>1000000</v>
      </c>
      <c r="L394" s="614">
        <f t="shared" si="13"/>
        <v>550000</v>
      </c>
    </row>
    <row r="395" spans="1:12" ht="30" customHeight="1">
      <c r="A395" s="241" t="s">
        <v>64</v>
      </c>
      <c r="B395" s="273" t="s">
        <v>475</v>
      </c>
      <c r="C395" s="273" t="s">
        <v>459</v>
      </c>
      <c r="D395" s="188">
        <v>6152</v>
      </c>
      <c r="E395" s="192" t="s">
        <v>256</v>
      </c>
      <c r="F395" s="226"/>
      <c r="G395" s="242"/>
      <c r="H395" s="242"/>
      <c r="I395" s="242"/>
      <c r="J395" s="326"/>
      <c r="K395" s="614">
        <f t="shared" si="12"/>
        <v>0</v>
      </c>
      <c r="L395" s="614">
        <f t="shared" si="13"/>
        <v>0</v>
      </c>
    </row>
    <row r="396" spans="1:12" ht="30" customHeight="1">
      <c r="A396" s="241" t="s">
        <v>64</v>
      </c>
      <c r="B396" s="273" t="s">
        <v>475</v>
      </c>
      <c r="C396" s="273" t="s">
        <v>459</v>
      </c>
      <c r="D396" s="188">
        <v>6173</v>
      </c>
      <c r="E396" s="192" t="s">
        <v>247</v>
      </c>
      <c r="F396" s="226"/>
      <c r="G396" s="242">
        <v>0</v>
      </c>
      <c r="H396" s="242"/>
      <c r="I396" s="242">
        <v>0</v>
      </c>
      <c r="J396" s="326"/>
      <c r="K396" s="614">
        <f t="shared" si="12"/>
        <v>0</v>
      </c>
      <c r="L396" s="614">
        <f t="shared" si="13"/>
        <v>0</v>
      </c>
    </row>
    <row r="397" spans="1:12" ht="30" customHeight="1">
      <c r="A397" s="241" t="s">
        <v>64</v>
      </c>
      <c r="B397" s="273" t="s">
        <v>475</v>
      </c>
      <c r="C397" s="273" t="s">
        <v>459</v>
      </c>
      <c r="D397" s="188">
        <v>6171</v>
      </c>
      <c r="E397" s="192" t="s">
        <v>214</v>
      </c>
      <c r="F397" s="226"/>
      <c r="G397" s="242"/>
      <c r="H397" s="242"/>
      <c r="I397" s="242"/>
      <c r="J397" s="98"/>
      <c r="K397" s="614">
        <f t="shared" si="12"/>
        <v>0</v>
      </c>
      <c r="L397" s="614">
        <f t="shared" si="13"/>
        <v>0</v>
      </c>
    </row>
    <row r="398" spans="1:12" ht="30" customHeight="1">
      <c r="A398" s="241" t="s">
        <v>64</v>
      </c>
      <c r="B398" s="273" t="s">
        <v>475</v>
      </c>
      <c r="C398" s="273" t="s">
        <v>459</v>
      </c>
      <c r="D398" s="188">
        <v>6175</v>
      </c>
      <c r="E398" s="192" t="s">
        <v>13</v>
      </c>
      <c r="F398" s="226"/>
      <c r="G398" s="242"/>
      <c r="H398" s="242"/>
      <c r="I398" s="242"/>
      <c r="J398" s="98"/>
      <c r="K398" s="614">
        <f t="shared" si="12"/>
        <v>0</v>
      </c>
      <c r="L398" s="614">
        <f t="shared" si="13"/>
        <v>0</v>
      </c>
    </row>
    <row r="399" spans="1:12" ht="30" customHeight="1">
      <c r="A399" s="241" t="s">
        <v>64</v>
      </c>
      <c r="B399" s="273" t="s">
        <v>475</v>
      </c>
      <c r="C399" s="273" t="s">
        <v>459</v>
      </c>
      <c r="D399" s="188">
        <v>6433</v>
      </c>
      <c r="E399" s="192" t="s">
        <v>42</v>
      </c>
      <c r="F399" s="226"/>
      <c r="G399" s="242"/>
      <c r="H399" s="242"/>
      <c r="I399" s="242"/>
      <c r="J399" s="326"/>
      <c r="K399" s="614">
        <f t="shared" si="12"/>
        <v>0</v>
      </c>
      <c r="L399" s="614">
        <f t="shared" si="13"/>
        <v>0</v>
      </c>
    </row>
    <row r="400" spans="1:12" ht="30" customHeight="1">
      <c r="A400" s="241" t="s">
        <v>64</v>
      </c>
      <c r="B400" s="273" t="s">
        <v>475</v>
      </c>
      <c r="C400" s="273" t="s">
        <v>459</v>
      </c>
      <c r="D400" s="257" t="s">
        <v>20</v>
      </c>
      <c r="E400" s="192"/>
      <c r="F400" s="98">
        <f>SUBTOTAL(109,F390:F399)</f>
        <v>0</v>
      </c>
      <c r="G400" s="98">
        <f>SUBTOTAL(109,G390:G399)</f>
        <v>2000000</v>
      </c>
      <c r="H400" s="98">
        <f>SUBTOTAL(109,H390:H399)</f>
        <v>450000</v>
      </c>
      <c r="I400" s="98">
        <f>SUBTOTAL(109,I390:I399)</f>
        <v>2000000</v>
      </c>
      <c r="J400" s="326"/>
      <c r="K400" s="614">
        <f t="shared" si="12"/>
        <v>2000000</v>
      </c>
      <c r="L400" s="614">
        <f t="shared" si="13"/>
        <v>1550000</v>
      </c>
    </row>
    <row r="401" spans="1:12" ht="30" customHeight="1">
      <c r="A401" s="241" t="s">
        <v>64</v>
      </c>
      <c r="B401" s="273" t="s">
        <v>476</v>
      </c>
      <c r="C401" s="273" t="s">
        <v>459</v>
      </c>
      <c r="D401" s="195" t="s">
        <v>62</v>
      </c>
      <c r="E401" s="226"/>
      <c r="F401" s="226"/>
      <c r="G401" s="242"/>
      <c r="H401" s="242"/>
      <c r="I401" s="242"/>
      <c r="J401" s="326"/>
      <c r="K401" s="614">
        <f t="shared" si="12"/>
        <v>0</v>
      </c>
      <c r="L401" s="614">
        <f t="shared" si="13"/>
        <v>0</v>
      </c>
    </row>
    <row r="402" spans="1:12" ht="30" customHeight="1">
      <c r="A402" s="241" t="s">
        <v>64</v>
      </c>
      <c r="B402" s="273" t="s">
        <v>476</v>
      </c>
      <c r="C402" s="273" t="s">
        <v>459</v>
      </c>
      <c r="D402" s="188">
        <v>2121</v>
      </c>
      <c r="E402" s="192" t="s">
        <v>593</v>
      </c>
      <c r="F402" s="192"/>
      <c r="G402" s="242">
        <v>83623400</v>
      </c>
      <c r="H402" s="242">
        <v>5781500</v>
      </c>
      <c r="I402" s="98">
        <f>78890000*(1+6%)</f>
        <v>83623400</v>
      </c>
      <c r="J402" s="326"/>
      <c r="K402" s="614">
        <f t="shared" si="12"/>
        <v>83623400</v>
      </c>
      <c r="L402" s="614">
        <f t="shared" si="13"/>
        <v>77841900</v>
      </c>
    </row>
    <row r="403" spans="1:12" ht="30" customHeight="1">
      <c r="A403" s="241" t="s">
        <v>64</v>
      </c>
      <c r="B403" s="273" t="s">
        <v>476</v>
      </c>
      <c r="C403" s="273" t="s">
        <v>459</v>
      </c>
      <c r="D403" s="188">
        <v>2164</v>
      </c>
      <c r="E403" s="192" t="s">
        <v>340</v>
      </c>
      <c r="F403" s="226"/>
      <c r="G403" s="242">
        <v>596500000</v>
      </c>
      <c r="H403" s="267"/>
      <c r="I403" s="98">
        <v>0</v>
      </c>
      <c r="J403" s="326"/>
      <c r="K403" s="614">
        <f t="shared" si="12"/>
        <v>0</v>
      </c>
      <c r="L403" s="614">
        <f t="shared" si="13"/>
        <v>0</v>
      </c>
    </row>
    <row r="404" spans="1:12" ht="30" customHeight="1">
      <c r="A404" s="241" t="s">
        <v>64</v>
      </c>
      <c r="B404" s="273" t="s">
        <v>476</v>
      </c>
      <c r="C404" s="273" t="s">
        <v>459</v>
      </c>
      <c r="D404" s="257" t="s">
        <v>20</v>
      </c>
      <c r="E404" s="226"/>
      <c r="F404" s="226"/>
      <c r="G404" s="98">
        <f>SUBTOTAL(109,G402:G403)</f>
        <v>680123400</v>
      </c>
      <c r="H404" s="98">
        <f>SUBTOTAL(109,H402:H402)</f>
        <v>5781500</v>
      </c>
      <c r="I404" s="98">
        <f>SUBTOTAL(109,I402:I403)</f>
        <v>83623400</v>
      </c>
      <c r="J404" s="326"/>
      <c r="K404" s="614">
        <f t="shared" si="12"/>
        <v>83623400</v>
      </c>
      <c r="L404" s="614">
        <f t="shared" si="13"/>
        <v>77841900</v>
      </c>
    </row>
    <row r="405" spans="1:12" ht="30" customHeight="1">
      <c r="A405" s="241" t="s">
        <v>64</v>
      </c>
      <c r="B405" s="309" t="s">
        <v>72</v>
      </c>
      <c r="C405" s="309"/>
      <c r="D405" s="188"/>
      <c r="E405" s="226"/>
      <c r="F405" s="98">
        <f>F388+F307+F378+F374+F367+F360+F356+F349+F345+F341+F337+F333+F328+F323+F314+F300+F404+F400</f>
        <v>307</v>
      </c>
      <c r="G405" s="98">
        <f>G388+G307+G378+G374+G367+G360+G356+G349+G345+G341+G337+G333+G328+G323+G314+G300+G404+G400+G383</f>
        <v>1636825779</v>
      </c>
      <c r="H405" s="98">
        <f>H388+H307+H378+H374+H367+H360+H356+H349+H345+H341+H337+H333+H328+H323+H314+H300+H404+H400+H383</f>
        <v>855743779.3000001</v>
      </c>
      <c r="I405" s="98">
        <f>I388+I307+I378+I374+I367+I360+I356+I349+I345+I341+I337+I333+I328+I323+I314+I300+I404+I400+I383</f>
        <v>1040325779</v>
      </c>
      <c r="J405" s="581">
        <f>J388+J307+J378+J374+J367+J360+J356+J349+J345+J341+J337+J333+J328+J323+J314+J300+J404+J400+J383</f>
        <v>0</v>
      </c>
      <c r="K405" s="614">
        <f t="shared" si="12"/>
        <v>1040325779</v>
      </c>
      <c r="L405" s="614">
        <f t="shared" si="13"/>
        <v>184581999.69999993</v>
      </c>
    </row>
    <row r="406" spans="1:12" ht="30" customHeight="1">
      <c r="A406" s="241" t="s">
        <v>81</v>
      </c>
      <c r="B406" s="317" t="s">
        <v>542</v>
      </c>
      <c r="C406" s="317"/>
      <c r="D406" s="188"/>
      <c r="E406" s="226"/>
      <c r="F406" s="226"/>
      <c r="G406" s="242"/>
      <c r="H406" s="242"/>
      <c r="I406" s="242"/>
      <c r="J406" s="326"/>
      <c r="K406" s="614">
        <f t="shared" si="12"/>
        <v>0</v>
      </c>
      <c r="L406" s="614">
        <f t="shared" si="13"/>
        <v>0</v>
      </c>
    </row>
    <row r="407" spans="1:12" ht="30" customHeight="1">
      <c r="A407" s="241" t="s">
        <v>81</v>
      </c>
      <c r="B407" s="273" t="s">
        <v>400</v>
      </c>
      <c r="C407" s="273" t="s">
        <v>481</v>
      </c>
      <c r="D407" s="195" t="s">
        <v>82</v>
      </c>
      <c r="E407" s="226"/>
      <c r="F407" s="226"/>
      <c r="G407" s="242"/>
      <c r="H407" s="242"/>
      <c r="I407" s="242"/>
      <c r="J407" s="326"/>
      <c r="K407" s="614">
        <f t="shared" si="12"/>
        <v>0</v>
      </c>
      <c r="L407" s="614">
        <f t="shared" si="13"/>
        <v>0</v>
      </c>
    </row>
    <row r="408" spans="1:12" ht="30" customHeight="1">
      <c r="A408" s="241" t="s">
        <v>81</v>
      </c>
      <c r="B408" s="273" t="s">
        <v>400</v>
      </c>
      <c r="C408" s="273" t="s">
        <v>481</v>
      </c>
      <c r="D408" s="188">
        <v>6611</v>
      </c>
      <c r="E408" s="192" t="s">
        <v>6</v>
      </c>
      <c r="F408" s="226">
        <f>14</f>
        <v>14</v>
      </c>
      <c r="G408" s="242">
        <v>104523072</v>
      </c>
      <c r="H408" s="242">
        <v>74745343.37</v>
      </c>
      <c r="I408" s="242">
        <v>104523072</v>
      </c>
      <c r="J408" s="326"/>
      <c r="K408" s="614">
        <f t="shared" si="12"/>
        <v>104523072</v>
      </c>
      <c r="L408" s="614">
        <f t="shared" si="13"/>
        <v>29777728.629999995</v>
      </c>
    </row>
    <row r="409" spans="1:12" ht="30" customHeight="1">
      <c r="A409" s="241" t="s">
        <v>81</v>
      </c>
      <c r="B409" s="273" t="s">
        <v>400</v>
      </c>
      <c r="C409" s="273" t="s">
        <v>481</v>
      </c>
      <c r="D409" s="188">
        <v>60100</v>
      </c>
      <c r="E409" s="192" t="s">
        <v>34</v>
      </c>
      <c r="F409" s="226"/>
      <c r="G409" s="242">
        <v>2503000</v>
      </c>
      <c r="H409" s="242">
        <v>1438100</v>
      </c>
      <c r="I409" s="242">
        <v>2503000</v>
      </c>
      <c r="J409" s="326"/>
      <c r="K409" s="614">
        <f t="shared" si="12"/>
        <v>2503000</v>
      </c>
      <c r="L409" s="614">
        <f t="shared" si="13"/>
        <v>1064900</v>
      </c>
    </row>
    <row r="410" spans="1:12" ht="30" customHeight="1">
      <c r="A410" s="241" t="s">
        <v>81</v>
      </c>
      <c r="B410" s="273" t="s">
        <v>400</v>
      </c>
      <c r="C410" s="273" t="s">
        <v>481</v>
      </c>
      <c r="D410" s="188">
        <v>6122</v>
      </c>
      <c r="E410" s="235" t="s">
        <v>582</v>
      </c>
      <c r="F410" s="253"/>
      <c r="G410" s="242">
        <v>2006000</v>
      </c>
      <c r="H410" s="242">
        <v>1001000</v>
      </c>
      <c r="I410" s="242">
        <v>2006000</v>
      </c>
      <c r="J410" s="326"/>
      <c r="K410" s="614">
        <f t="shared" si="12"/>
        <v>2006000</v>
      </c>
      <c r="L410" s="614">
        <f t="shared" si="13"/>
        <v>1005000</v>
      </c>
    </row>
    <row r="411" spans="1:12" ht="30" customHeight="1">
      <c r="A411" s="241" t="s">
        <v>81</v>
      </c>
      <c r="B411" s="273" t="s">
        <v>400</v>
      </c>
      <c r="C411" s="273" t="s">
        <v>481</v>
      </c>
      <c r="D411" s="188">
        <v>6133</v>
      </c>
      <c r="E411" s="194" t="s">
        <v>234</v>
      </c>
      <c r="F411" s="253"/>
      <c r="G411" s="242"/>
      <c r="H411" s="242"/>
      <c r="I411" s="242"/>
      <c r="J411" s="326"/>
      <c r="K411" s="614">
        <f t="shared" si="12"/>
        <v>0</v>
      </c>
      <c r="L411" s="614">
        <f t="shared" si="13"/>
        <v>0</v>
      </c>
    </row>
    <row r="412" spans="1:12" ht="30" customHeight="1">
      <c r="A412" s="241" t="s">
        <v>81</v>
      </c>
      <c r="B412" s="273" t="s">
        <v>400</v>
      </c>
      <c r="C412" s="273" t="s">
        <v>481</v>
      </c>
      <c r="D412" s="188">
        <v>6138</v>
      </c>
      <c r="E412" s="194" t="s">
        <v>177</v>
      </c>
      <c r="F412" s="253"/>
      <c r="G412" s="242"/>
      <c r="H412" s="242"/>
      <c r="I412" s="242"/>
      <c r="J412" s="98"/>
      <c r="K412" s="614">
        <f t="shared" si="12"/>
        <v>0</v>
      </c>
      <c r="L412" s="614">
        <f t="shared" si="13"/>
        <v>0</v>
      </c>
    </row>
    <row r="413" spans="1:12" ht="30" customHeight="1">
      <c r="A413" s="241" t="s">
        <v>81</v>
      </c>
      <c r="B413" s="273" t="s">
        <v>400</v>
      </c>
      <c r="C413" s="273" t="s">
        <v>481</v>
      </c>
      <c r="D413" s="188">
        <v>6143</v>
      </c>
      <c r="E413" s="194" t="s">
        <v>292</v>
      </c>
      <c r="F413" s="253"/>
      <c r="G413" s="242">
        <v>1000000</v>
      </c>
      <c r="H413" s="242"/>
      <c r="I413" s="242">
        <v>1000000</v>
      </c>
      <c r="J413" s="326"/>
      <c r="K413" s="614">
        <f t="shared" si="12"/>
        <v>1000000</v>
      </c>
      <c r="L413" s="614">
        <f t="shared" si="13"/>
        <v>1000000</v>
      </c>
    </row>
    <row r="414" spans="1:12" ht="30" customHeight="1">
      <c r="A414" s="241" t="s">
        <v>81</v>
      </c>
      <c r="B414" s="273" t="s">
        <v>400</v>
      </c>
      <c r="C414" s="273" t="s">
        <v>481</v>
      </c>
      <c r="D414" s="188">
        <v>6161</v>
      </c>
      <c r="E414" s="194" t="s">
        <v>275</v>
      </c>
      <c r="F414" s="253"/>
      <c r="G414" s="242"/>
      <c r="H414" s="242"/>
      <c r="I414" s="242"/>
      <c r="J414" s="326"/>
      <c r="K414" s="614">
        <f t="shared" si="12"/>
        <v>0</v>
      </c>
      <c r="L414" s="614">
        <f t="shared" si="13"/>
        <v>0</v>
      </c>
    </row>
    <row r="415" spans="1:12" ht="30" customHeight="1">
      <c r="A415" s="241" t="s">
        <v>81</v>
      </c>
      <c r="B415" s="273" t="s">
        <v>400</v>
      </c>
      <c r="C415" s="273" t="s">
        <v>481</v>
      </c>
      <c r="D415" s="188">
        <v>6112</v>
      </c>
      <c r="E415" s="194" t="s">
        <v>48</v>
      </c>
      <c r="F415" s="253"/>
      <c r="G415" s="242"/>
      <c r="H415" s="242"/>
      <c r="I415" s="242"/>
      <c r="J415" s="326"/>
      <c r="K415" s="614">
        <f t="shared" si="12"/>
        <v>0</v>
      </c>
      <c r="L415" s="614">
        <f t="shared" si="13"/>
        <v>0</v>
      </c>
    </row>
    <row r="416" spans="1:12" ht="30" customHeight="1">
      <c r="A416" s="241" t="s">
        <v>81</v>
      </c>
      <c r="B416" s="273" t="s">
        <v>400</v>
      </c>
      <c r="C416" s="273" t="s">
        <v>481</v>
      </c>
      <c r="D416" s="188">
        <v>6171</v>
      </c>
      <c r="E416" s="194" t="s">
        <v>233</v>
      </c>
      <c r="F416" s="253"/>
      <c r="G416" s="242"/>
      <c r="H416" s="242"/>
      <c r="I416" s="242"/>
      <c r="J416" s="326"/>
      <c r="K416" s="614">
        <f t="shared" si="12"/>
        <v>0</v>
      </c>
      <c r="L416" s="614">
        <f t="shared" si="13"/>
        <v>0</v>
      </c>
    </row>
    <row r="417" spans="1:12" ht="30" customHeight="1">
      <c r="A417" s="241" t="s">
        <v>81</v>
      </c>
      <c r="B417" s="273" t="s">
        <v>400</v>
      </c>
      <c r="C417" s="273" t="s">
        <v>481</v>
      </c>
      <c r="D417" s="188">
        <v>6173</v>
      </c>
      <c r="E417" s="192" t="s">
        <v>19</v>
      </c>
      <c r="F417" s="226"/>
      <c r="G417" s="242">
        <v>1500000</v>
      </c>
      <c r="H417" s="242">
        <v>1099950</v>
      </c>
      <c r="I417" s="242">
        <v>1500000</v>
      </c>
      <c r="J417" s="326"/>
      <c r="K417" s="614">
        <f t="shared" si="12"/>
        <v>1500000</v>
      </c>
      <c r="L417" s="614">
        <f t="shared" si="13"/>
        <v>400050</v>
      </c>
    </row>
    <row r="418" spans="1:12" ht="30" customHeight="1">
      <c r="A418" s="241" t="s">
        <v>81</v>
      </c>
      <c r="B418" s="273" t="s">
        <v>400</v>
      </c>
      <c r="C418" s="273" t="s">
        <v>481</v>
      </c>
      <c r="D418" s="188">
        <v>6175</v>
      </c>
      <c r="E418" s="194" t="s">
        <v>13</v>
      </c>
      <c r="F418" s="253"/>
      <c r="G418" s="242">
        <v>2004000</v>
      </c>
      <c r="H418" s="242">
        <v>559850</v>
      </c>
      <c r="I418" s="242">
        <v>2004000</v>
      </c>
      <c r="J418" s="326"/>
      <c r="K418" s="614">
        <f t="shared" si="12"/>
        <v>2004000</v>
      </c>
      <c r="L418" s="614">
        <f t="shared" si="13"/>
        <v>1444150</v>
      </c>
    </row>
    <row r="419" spans="1:12" ht="30" customHeight="1">
      <c r="A419" s="241" t="s">
        <v>81</v>
      </c>
      <c r="B419" s="273" t="s">
        <v>400</v>
      </c>
      <c r="C419" s="273" t="s">
        <v>481</v>
      </c>
      <c r="D419" s="257" t="s">
        <v>20</v>
      </c>
      <c r="E419" s="312"/>
      <c r="F419" s="98">
        <f>SUBTOTAL(109,F408:F418)</f>
        <v>14</v>
      </c>
      <c r="G419" s="98">
        <f>SUBTOTAL(109,G408:G418)</f>
        <v>113536072</v>
      </c>
      <c r="H419" s="98">
        <f>SUBTOTAL(109,H408:H418)</f>
        <v>78844243.37</v>
      </c>
      <c r="I419" s="98">
        <f>SUBTOTAL(109,I408:I418)</f>
        <v>113536072</v>
      </c>
      <c r="J419" s="326"/>
      <c r="K419" s="614">
        <f t="shared" si="12"/>
        <v>113536072</v>
      </c>
      <c r="L419" s="614">
        <f t="shared" si="13"/>
        <v>34691828.629999995</v>
      </c>
    </row>
    <row r="420" spans="1:12" ht="30" customHeight="1">
      <c r="A420" s="241" t="s">
        <v>81</v>
      </c>
      <c r="B420" s="273" t="s">
        <v>401</v>
      </c>
      <c r="C420" s="273" t="s">
        <v>481</v>
      </c>
      <c r="D420" s="271" t="s">
        <v>66</v>
      </c>
      <c r="E420" s="192"/>
      <c r="F420" s="226"/>
      <c r="G420" s="98"/>
      <c r="H420" s="267"/>
      <c r="I420" s="267"/>
      <c r="J420" s="98"/>
      <c r="K420" s="614">
        <f t="shared" si="12"/>
        <v>0</v>
      </c>
      <c r="L420" s="614">
        <f t="shared" si="13"/>
        <v>0</v>
      </c>
    </row>
    <row r="421" spans="1:12" ht="30" customHeight="1">
      <c r="A421" s="241" t="s">
        <v>81</v>
      </c>
      <c r="B421" s="273" t="s">
        <v>401</v>
      </c>
      <c r="C421" s="273" t="s">
        <v>481</v>
      </c>
      <c r="D421" s="188">
        <v>6611</v>
      </c>
      <c r="E421" s="192" t="s">
        <v>6</v>
      </c>
      <c r="F421" s="226">
        <f>17+9+16+8+14+4+6</f>
        <v>74</v>
      </c>
      <c r="G421" s="242">
        <v>213190771</v>
      </c>
      <c r="H421" s="242">
        <f>23449439.48+28157331+20251332+6691134+25820666+1381333+8681066+7896333+308000+8779000</f>
        <v>131415634.48</v>
      </c>
      <c r="I421" s="242">
        <v>213190771</v>
      </c>
      <c r="J421" s="326"/>
      <c r="K421" s="614">
        <f t="shared" si="12"/>
        <v>213190771</v>
      </c>
      <c r="L421" s="614">
        <f t="shared" si="13"/>
        <v>81775136.52</v>
      </c>
    </row>
    <row r="422" spans="1:12" ht="30" customHeight="1">
      <c r="A422" s="241" t="s">
        <v>81</v>
      </c>
      <c r="B422" s="273" t="s">
        <v>401</v>
      </c>
      <c r="C422" s="273" t="s">
        <v>481</v>
      </c>
      <c r="D422" s="188">
        <v>60100</v>
      </c>
      <c r="E422" s="192" t="s">
        <v>7</v>
      </c>
      <c r="F422" s="226"/>
      <c r="G422" s="242">
        <v>500000</v>
      </c>
      <c r="H422" s="242">
        <v>499000</v>
      </c>
      <c r="I422" s="242">
        <v>500000</v>
      </c>
      <c r="J422" s="326"/>
      <c r="K422" s="614">
        <f t="shared" si="12"/>
        <v>500000</v>
      </c>
      <c r="L422" s="614">
        <f t="shared" si="13"/>
        <v>1000</v>
      </c>
    </row>
    <row r="423" spans="1:12" ht="30" customHeight="1">
      <c r="A423" s="241" t="s">
        <v>81</v>
      </c>
      <c r="B423" s="273" t="s">
        <v>401</v>
      </c>
      <c r="C423" s="273" t="s">
        <v>481</v>
      </c>
      <c r="D423" s="188">
        <v>60101</v>
      </c>
      <c r="E423" s="192" t="s">
        <v>255</v>
      </c>
      <c r="F423" s="226"/>
      <c r="G423" s="98"/>
      <c r="H423" s="267"/>
      <c r="I423" s="267"/>
      <c r="J423" s="326"/>
      <c r="K423" s="614">
        <f t="shared" si="12"/>
        <v>0</v>
      </c>
      <c r="L423" s="614">
        <f t="shared" si="13"/>
        <v>0</v>
      </c>
    </row>
    <row r="424" spans="1:12" ht="30" customHeight="1">
      <c r="A424" s="241" t="s">
        <v>81</v>
      </c>
      <c r="B424" s="273" t="s">
        <v>401</v>
      </c>
      <c r="C424" s="273" t="s">
        <v>481</v>
      </c>
      <c r="D424" s="188">
        <v>6122</v>
      </c>
      <c r="E424" s="235" t="s">
        <v>582</v>
      </c>
      <c r="F424" s="226"/>
      <c r="G424" s="242">
        <v>300000</v>
      </c>
      <c r="H424" s="242">
        <v>293000</v>
      </c>
      <c r="I424" s="242">
        <v>300000</v>
      </c>
      <c r="J424" s="326"/>
      <c r="K424" s="614">
        <f t="shared" si="12"/>
        <v>300000</v>
      </c>
      <c r="L424" s="614">
        <f t="shared" si="13"/>
        <v>7000</v>
      </c>
    </row>
    <row r="425" spans="1:12" ht="30" customHeight="1">
      <c r="A425" s="241" t="s">
        <v>81</v>
      </c>
      <c r="B425" s="273" t="s">
        <v>401</v>
      </c>
      <c r="C425" s="273" t="s">
        <v>481</v>
      </c>
      <c r="D425" s="188">
        <v>6143</v>
      </c>
      <c r="E425" s="192" t="s">
        <v>287</v>
      </c>
      <c r="F425" s="226"/>
      <c r="G425" s="98"/>
      <c r="H425" s="267"/>
      <c r="I425" s="267"/>
      <c r="J425" s="98"/>
      <c r="K425" s="614">
        <f t="shared" si="12"/>
        <v>0</v>
      </c>
      <c r="L425" s="614">
        <f t="shared" si="13"/>
        <v>0</v>
      </c>
    </row>
    <row r="426" spans="1:12" ht="30" customHeight="1">
      <c r="A426" s="241" t="s">
        <v>81</v>
      </c>
      <c r="B426" s="273" t="s">
        <v>401</v>
      </c>
      <c r="C426" s="273" t="s">
        <v>481</v>
      </c>
      <c r="D426" s="188">
        <v>6175</v>
      </c>
      <c r="E426" s="194" t="s">
        <v>13</v>
      </c>
      <c r="F426" s="253"/>
      <c r="G426" s="98"/>
      <c r="H426" s="267"/>
      <c r="I426" s="267"/>
      <c r="J426" s="326"/>
      <c r="K426" s="614">
        <f t="shared" si="12"/>
        <v>0</v>
      </c>
      <c r="L426" s="614">
        <f t="shared" si="13"/>
        <v>0</v>
      </c>
    </row>
    <row r="427" spans="1:12" ht="30" customHeight="1">
      <c r="A427" s="241" t="s">
        <v>81</v>
      </c>
      <c r="B427" s="273" t="s">
        <v>401</v>
      </c>
      <c r="C427" s="273" t="s">
        <v>481</v>
      </c>
      <c r="D427" s="257" t="s">
        <v>20</v>
      </c>
      <c r="E427" s="227"/>
      <c r="F427" s="323">
        <f>SUBTOTAL(109,F421:F426)</f>
        <v>74</v>
      </c>
      <c r="G427" s="98">
        <f>SUBTOTAL(109,G421:G426)</f>
        <v>213990771</v>
      </c>
      <c r="H427" s="98">
        <f>SUBTOTAL(109,H421:H426)</f>
        <v>132207634.48</v>
      </c>
      <c r="I427" s="98">
        <f>SUBTOTAL(109,I421:I426)</f>
        <v>213990771</v>
      </c>
      <c r="J427" s="326"/>
      <c r="K427" s="614">
        <f t="shared" si="12"/>
        <v>213990771</v>
      </c>
      <c r="L427" s="614">
        <f t="shared" si="13"/>
        <v>81783136.52</v>
      </c>
    </row>
    <row r="428" spans="1:12" ht="30" customHeight="1">
      <c r="A428" s="241" t="s">
        <v>81</v>
      </c>
      <c r="B428" s="273" t="s">
        <v>402</v>
      </c>
      <c r="C428" s="273" t="s">
        <v>481</v>
      </c>
      <c r="D428" s="195" t="s">
        <v>217</v>
      </c>
      <c r="E428" s="226"/>
      <c r="F428" s="226"/>
      <c r="G428" s="242"/>
      <c r="H428" s="242"/>
      <c r="I428" s="242"/>
      <c r="J428" s="326"/>
      <c r="K428" s="614">
        <f t="shared" si="12"/>
        <v>0</v>
      </c>
      <c r="L428" s="614">
        <f t="shared" si="13"/>
        <v>0</v>
      </c>
    </row>
    <row r="429" spans="1:12" ht="30" customHeight="1">
      <c r="A429" s="241" t="s">
        <v>81</v>
      </c>
      <c r="B429" s="273" t="s">
        <v>402</v>
      </c>
      <c r="C429" s="273" t="s">
        <v>481</v>
      </c>
      <c r="D429" s="188">
        <v>6611</v>
      </c>
      <c r="E429" s="192" t="s">
        <v>6</v>
      </c>
      <c r="F429" s="226">
        <v>13</v>
      </c>
      <c r="G429" s="242">
        <v>136339140</v>
      </c>
      <c r="H429" s="242">
        <v>146433420.67000002</v>
      </c>
      <c r="I429" s="242">
        <v>136339140</v>
      </c>
      <c r="J429" s="326"/>
      <c r="K429" s="614">
        <f t="shared" si="12"/>
        <v>136339140</v>
      </c>
      <c r="L429" s="614">
        <f t="shared" si="13"/>
        <v>-10094280.670000017</v>
      </c>
    </row>
    <row r="430" spans="1:12" ht="30" customHeight="1">
      <c r="A430" s="241" t="s">
        <v>81</v>
      </c>
      <c r="B430" s="273" t="s">
        <v>402</v>
      </c>
      <c r="C430" s="273" t="s">
        <v>481</v>
      </c>
      <c r="D430" s="188">
        <v>6143</v>
      </c>
      <c r="E430" s="192" t="s">
        <v>287</v>
      </c>
      <c r="F430" s="226"/>
      <c r="G430" s="242"/>
      <c r="H430" s="242"/>
      <c r="I430" s="242"/>
      <c r="J430" s="326"/>
      <c r="K430" s="614">
        <f t="shared" si="12"/>
        <v>0</v>
      </c>
      <c r="L430" s="614">
        <f t="shared" si="13"/>
        <v>0</v>
      </c>
    </row>
    <row r="431" spans="1:12" ht="30" customHeight="1">
      <c r="A431" s="241" t="s">
        <v>81</v>
      </c>
      <c r="B431" s="273" t="s">
        <v>402</v>
      </c>
      <c r="C431" s="273" t="s">
        <v>481</v>
      </c>
      <c r="D431" s="188">
        <v>6173</v>
      </c>
      <c r="E431" s="192" t="s">
        <v>19</v>
      </c>
      <c r="F431" s="226"/>
      <c r="G431" s="242">
        <v>10300000</v>
      </c>
      <c r="H431" s="242">
        <v>7725000</v>
      </c>
      <c r="I431" s="242">
        <v>10300000</v>
      </c>
      <c r="J431" s="98"/>
      <c r="K431" s="614">
        <f t="shared" si="12"/>
        <v>10300000</v>
      </c>
      <c r="L431" s="614">
        <f t="shared" si="13"/>
        <v>2575000</v>
      </c>
    </row>
    <row r="432" spans="1:12" ht="30" customHeight="1">
      <c r="A432" s="241" t="s">
        <v>81</v>
      </c>
      <c r="B432" s="273" t="s">
        <v>402</v>
      </c>
      <c r="C432" s="273" t="s">
        <v>481</v>
      </c>
      <c r="D432" s="257" t="s">
        <v>20</v>
      </c>
      <c r="E432" s="226"/>
      <c r="F432" s="98">
        <f>SUBTOTAL(109,F429:F431)</f>
        <v>13</v>
      </c>
      <c r="G432" s="98">
        <f>SUBTOTAL(109,G429:G431)</f>
        <v>146639140</v>
      </c>
      <c r="H432" s="98">
        <f>SUBTOTAL(109,H429:H431)</f>
        <v>154158420.67000002</v>
      </c>
      <c r="I432" s="98">
        <f>SUBTOTAL(109,I429:I431)</f>
        <v>146639140</v>
      </c>
      <c r="J432" s="326"/>
      <c r="K432" s="614">
        <f t="shared" si="12"/>
        <v>146639140</v>
      </c>
      <c r="L432" s="614">
        <f t="shared" si="13"/>
        <v>-7519280.670000017</v>
      </c>
    </row>
    <row r="433" spans="1:12" ht="30" customHeight="1">
      <c r="A433" s="241" t="s">
        <v>81</v>
      </c>
      <c r="B433" s="273" t="s">
        <v>403</v>
      </c>
      <c r="C433" s="273" t="s">
        <v>481</v>
      </c>
      <c r="D433" s="195" t="s">
        <v>83</v>
      </c>
      <c r="E433" s="226"/>
      <c r="F433" s="226"/>
      <c r="G433" s="98"/>
      <c r="H433" s="98"/>
      <c r="I433" s="98"/>
      <c r="J433" s="326"/>
      <c r="K433" s="614">
        <f t="shared" si="12"/>
        <v>0</v>
      </c>
      <c r="L433" s="614">
        <f t="shared" si="13"/>
        <v>0</v>
      </c>
    </row>
    <row r="434" spans="1:12" ht="30" customHeight="1">
      <c r="A434" s="241" t="s">
        <v>81</v>
      </c>
      <c r="B434" s="273" t="s">
        <v>403</v>
      </c>
      <c r="C434" s="273" t="s">
        <v>481</v>
      </c>
      <c r="D434" s="188">
        <v>6611</v>
      </c>
      <c r="E434" s="192" t="s">
        <v>6</v>
      </c>
      <c r="F434" s="226">
        <v>4</v>
      </c>
      <c r="G434" s="242">
        <v>57735996</v>
      </c>
      <c r="H434" s="242">
        <v>56392000.33</v>
      </c>
      <c r="I434" s="242">
        <v>57735996</v>
      </c>
      <c r="J434" s="326"/>
      <c r="K434" s="614">
        <f t="shared" si="12"/>
        <v>57735996</v>
      </c>
      <c r="L434" s="614">
        <f t="shared" si="13"/>
        <v>1343995.6700000018</v>
      </c>
    </row>
    <row r="435" spans="1:12" ht="30" customHeight="1">
      <c r="A435" s="241" t="s">
        <v>81</v>
      </c>
      <c r="B435" s="273" t="s">
        <v>403</v>
      </c>
      <c r="C435" s="273" t="s">
        <v>481</v>
      </c>
      <c r="D435" s="188">
        <v>6143</v>
      </c>
      <c r="E435" s="192" t="s">
        <v>287</v>
      </c>
      <c r="F435" s="226"/>
      <c r="G435" s="242"/>
      <c r="H435" s="242"/>
      <c r="I435" s="242"/>
      <c r="J435" s="98"/>
      <c r="K435" s="614">
        <f t="shared" si="12"/>
        <v>0</v>
      </c>
      <c r="L435" s="614">
        <f t="shared" si="13"/>
        <v>0</v>
      </c>
    </row>
    <row r="436" spans="1:12" ht="30" customHeight="1">
      <c r="A436" s="241" t="s">
        <v>81</v>
      </c>
      <c r="B436" s="273" t="s">
        <v>403</v>
      </c>
      <c r="C436" s="273" t="s">
        <v>481</v>
      </c>
      <c r="D436" s="188">
        <v>6161</v>
      </c>
      <c r="E436" s="192" t="s">
        <v>257</v>
      </c>
      <c r="F436" s="226"/>
      <c r="G436" s="242"/>
      <c r="H436" s="242"/>
      <c r="I436" s="242"/>
      <c r="J436" s="326"/>
      <c r="K436" s="614">
        <f t="shared" si="12"/>
        <v>0</v>
      </c>
      <c r="L436" s="614">
        <f t="shared" si="13"/>
        <v>0</v>
      </c>
    </row>
    <row r="437" spans="1:12" ht="30" customHeight="1">
      <c r="A437" s="241" t="s">
        <v>81</v>
      </c>
      <c r="B437" s="273" t="s">
        <v>403</v>
      </c>
      <c r="C437" s="273" t="s">
        <v>481</v>
      </c>
      <c r="D437" s="188">
        <v>6173</v>
      </c>
      <c r="E437" s="192" t="s">
        <v>19</v>
      </c>
      <c r="F437" s="226"/>
      <c r="G437" s="242">
        <v>11500000</v>
      </c>
      <c r="H437" s="242">
        <v>8625000</v>
      </c>
      <c r="I437" s="242">
        <f>11500000</f>
        <v>11500000</v>
      </c>
      <c r="J437" s="326"/>
      <c r="K437" s="614">
        <f t="shared" si="12"/>
        <v>11500000</v>
      </c>
      <c r="L437" s="614">
        <f t="shared" si="13"/>
        <v>2875000</v>
      </c>
    </row>
    <row r="438" spans="1:12" ht="30" customHeight="1">
      <c r="A438" s="241" t="s">
        <v>81</v>
      </c>
      <c r="B438" s="273" t="s">
        <v>403</v>
      </c>
      <c r="C438" s="273" t="s">
        <v>481</v>
      </c>
      <c r="D438" s="257" t="s">
        <v>20</v>
      </c>
      <c r="E438" s="226"/>
      <c r="F438" s="98">
        <f>SUBTOTAL(109,F434:F437)</f>
        <v>4</v>
      </c>
      <c r="G438" s="98">
        <f>SUBTOTAL(109,G434:G437)</f>
        <v>69235996</v>
      </c>
      <c r="H438" s="98">
        <f>SUBTOTAL(109,H434:H437)</f>
        <v>65017000.33</v>
      </c>
      <c r="I438" s="98">
        <f>SUBTOTAL(109,I434:I437)</f>
        <v>69235996</v>
      </c>
      <c r="J438" s="326"/>
      <c r="K438" s="614">
        <f t="shared" si="12"/>
        <v>69235996</v>
      </c>
      <c r="L438" s="614">
        <f t="shared" si="13"/>
        <v>4218995.670000002</v>
      </c>
    </row>
    <row r="439" spans="1:12" ht="30" customHeight="1">
      <c r="A439" s="241" t="s">
        <v>81</v>
      </c>
      <c r="B439" s="273" t="s">
        <v>404</v>
      </c>
      <c r="C439" s="273" t="s">
        <v>481</v>
      </c>
      <c r="D439" s="195" t="s">
        <v>84</v>
      </c>
      <c r="E439" s="226"/>
      <c r="F439" s="226"/>
      <c r="G439" s="242"/>
      <c r="H439" s="242"/>
      <c r="I439" s="242"/>
      <c r="J439" s="326"/>
      <c r="K439" s="614">
        <f t="shared" si="12"/>
        <v>0</v>
      </c>
      <c r="L439" s="614">
        <f t="shared" si="13"/>
        <v>0</v>
      </c>
    </row>
    <row r="440" spans="1:12" ht="30" customHeight="1">
      <c r="A440" s="241" t="s">
        <v>81</v>
      </c>
      <c r="B440" s="273" t="s">
        <v>404</v>
      </c>
      <c r="C440" s="273" t="s">
        <v>481</v>
      </c>
      <c r="D440" s="188">
        <v>6611</v>
      </c>
      <c r="E440" s="192" t="s">
        <v>6</v>
      </c>
      <c r="F440" s="226">
        <v>9</v>
      </c>
      <c r="G440" s="242">
        <v>69473028</v>
      </c>
      <c r="H440" s="242">
        <v>58540360.08000001</v>
      </c>
      <c r="I440" s="242">
        <v>69473028</v>
      </c>
      <c r="J440" s="98"/>
      <c r="K440" s="614">
        <f t="shared" si="12"/>
        <v>69473028</v>
      </c>
      <c r="L440" s="614">
        <f t="shared" si="13"/>
        <v>10932667.919999987</v>
      </c>
    </row>
    <row r="441" spans="1:12" ht="30" customHeight="1">
      <c r="A441" s="241" t="s">
        <v>81</v>
      </c>
      <c r="B441" s="273" t="s">
        <v>404</v>
      </c>
      <c r="C441" s="273" t="s">
        <v>481</v>
      </c>
      <c r="D441" s="188">
        <v>6173</v>
      </c>
      <c r="E441" s="192" t="s">
        <v>19</v>
      </c>
      <c r="F441" s="226"/>
      <c r="G441" s="242">
        <v>5300000</v>
      </c>
      <c r="H441" s="242">
        <v>2650000</v>
      </c>
      <c r="I441" s="242">
        <f>5300000</f>
        <v>5300000</v>
      </c>
      <c r="J441" s="326"/>
      <c r="K441" s="614">
        <f t="shared" si="12"/>
        <v>5300000</v>
      </c>
      <c r="L441" s="614">
        <f t="shared" si="13"/>
        <v>2650000</v>
      </c>
    </row>
    <row r="442" spans="1:12" ht="30" customHeight="1">
      <c r="A442" s="241" t="s">
        <v>81</v>
      </c>
      <c r="B442" s="273" t="s">
        <v>404</v>
      </c>
      <c r="C442" s="273" t="s">
        <v>481</v>
      </c>
      <c r="D442" s="257" t="s">
        <v>20</v>
      </c>
      <c r="E442" s="226"/>
      <c r="F442" s="98">
        <f>SUBTOTAL(109,F440:F441)</f>
        <v>9</v>
      </c>
      <c r="G442" s="98">
        <f>SUBTOTAL(109,G440:G441)</f>
        <v>74773028</v>
      </c>
      <c r="H442" s="98">
        <f>SUBTOTAL(109,H440:H441)</f>
        <v>61190360.08000001</v>
      </c>
      <c r="I442" s="98">
        <f>SUBTOTAL(109,I440:I441)</f>
        <v>74773028</v>
      </c>
      <c r="J442" s="326"/>
      <c r="K442" s="614">
        <f t="shared" si="12"/>
        <v>74773028</v>
      </c>
      <c r="L442" s="614">
        <f t="shared" si="13"/>
        <v>13582667.919999987</v>
      </c>
    </row>
    <row r="443" spans="1:12" ht="30" customHeight="1">
      <c r="A443" s="241" t="s">
        <v>81</v>
      </c>
      <c r="B443" s="273" t="s">
        <v>405</v>
      </c>
      <c r="C443" s="273" t="s">
        <v>481</v>
      </c>
      <c r="D443" s="195" t="s">
        <v>623</v>
      </c>
      <c r="E443" s="226"/>
      <c r="F443" s="226"/>
      <c r="G443" s="242"/>
      <c r="H443" s="242"/>
      <c r="I443" s="242"/>
      <c r="J443" s="326"/>
      <c r="K443" s="614">
        <f t="shared" si="12"/>
        <v>0</v>
      </c>
      <c r="L443" s="614">
        <f t="shared" si="13"/>
        <v>0</v>
      </c>
    </row>
    <row r="444" spans="1:12" ht="30" customHeight="1">
      <c r="A444" s="241" t="s">
        <v>81</v>
      </c>
      <c r="B444" s="273" t="s">
        <v>405</v>
      </c>
      <c r="C444" s="273" t="s">
        <v>481</v>
      </c>
      <c r="D444" s="188">
        <v>6611</v>
      </c>
      <c r="E444" s="192" t="s">
        <v>6</v>
      </c>
      <c r="F444" s="226">
        <v>6</v>
      </c>
      <c r="G444" s="242">
        <v>98378435</v>
      </c>
      <c r="H444" s="242">
        <v>89424223.46000001</v>
      </c>
      <c r="I444" s="242">
        <v>98378435</v>
      </c>
      <c r="J444" s="326"/>
      <c r="K444" s="614">
        <f t="shared" si="12"/>
        <v>98378435</v>
      </c>
      <c r="L444" s="614">
        <f t="shared" si="13"/>
        <v>8954211.539999992</v>
      </c>
    </row>
    <row r="445" spans="1:12" ht="30" customHeight="1">
      <c r="A445" s="241" t="s">
        <v>81</v>
      </c>
      <c r="B445" s="273" t="s">
        <v>405</v>
      </c>
      <c r="C445" s="273" t="s">
        <v>481</v>
      </c>
      <c r="D445" s="188">
        <v>6143</v>
      </c>
      <c r="E445" s="192" t="s">
        <v>287</v>
      </c>
      <c r="F445" s="226"/>
      <c r="G445" s="242"/>
      <c r="H445" s="242"/>
      <c r="I445" s="242"/>
      <c r="J445" s="98"/>
      <c r="K445" s="614">
        <f t="shared" si="12"/>
        <v>0</v>
      </c>
      <c r="L445" s="614">
        <f t="shared" si="13"/>
        <v>0</v>
      </c>
    </row>
    <row r="446" spans="1:12" ht="30" customHeight="1">
      <c r="A446" s="241" t="s">
        <v>81</v>
      </c>
      <c r="B446" s="273" t="s">
        <v>405</v>
      </c>
      <c r="C446" s="273" t="s">
        <v>481</v>
      </c>
      <c r="D446" s="188">
        <v>6173</v>
      </c>
      <c r="E446" s="192" t="s">
        <v>19</v>
      </c>
      <c r="F446" s="226"/>
      <c r="G446" s="242">
        <v>10300000</v>
      </c>
      <c r="H446" s="242">
        <v>9050000</v>
      </c>
      <c r="I446" s="242">
        <v>10300000</v>
      </c>
      <c r="J446" s="326"/>
      <c r="K446" s="614">
        <f t="shared" si="12"/>
        <v>10300000</v>
      </c>
      <c r="L446" s="614">
        <f t="shared" si="13"/>
        <v>1250000</v>
      </c>
    </row>
    <row r="447" spans="1:12" ht="30" customHeight="1">
      <c r="A447" s="241" t="s">
        <v>81</v>
      </c>
      <c r="B447" s="273" t="s">
        <v>405</v>
      </c>
      <c r="C447" s="273" t="s">
        <v>481</v>
      </c>
      <c r="D447" s="257" t="s">
        <v>20</v>
      </c>
      <c r="E447" s="226"/>
      <c r="F447" s="98">
        <f>SUBTOTAL(109,F444:F446)</f>
        <v>6</v>
      </c>
      <c r="G447" s="98">
        <f>SUBTOTAL(109,G444:G446)</f>
        <v>108678435</v>
      </c>
      <c r="H447" s="98">
        <f>SUBTOTAL(109,H444:H446)</f>
        <v>98474223.46000001</v>
      </c>
      <c r="I447" s="98">
        <f>SUBTOTAL(109,I444:I446)</f>
        <v>108678435</v>
      </c>
      <c r="J447" s="326"/>
      <c r="K447" s="614">
        <f t="shared" si="12"/>
        <v>108678435</v>
      </c>
      <c r="L447" s="614">
        <f t="shared" si="13"/>
        <v>10204211.539999992</v>
      </c>
    </row>
    <row r="448" spans="1:12" ht="30" customHeight="1">
      <c r="A448" s="241" t="s">
        <v>81</v>
      </c>
      <c r="B448" s="273" t="s">
        <v>479</v>
      </c>
      <c r="C448" s="273" t="s">
        <v>481</v>
      </c>
      <c r="D448" s="195" t="s">
        <v>85</v>
      </c>
      <c r="E448" s="226"/>
      <c r="F448" s="226"/>
      <c r="G448" s="242"/>
      <c r="H448" s="242"/>
      <c r="I448" s="242"/>
      <c r="J448" s="326"/>
      <c r="K448" s="614">
        <f t="shared" si="12"/>
        <v>0</v>
      </c>
      <c r="L448" s="614">
        <f t="shared" si="13"/>
        <v>0</v>
      </c>
    </row>
    <row r="449" spans="1:12" ht="30" customHeight="1">
      <c r="A449" s="241" t="s">
        <v>81</v>
      </c>
      <c r="B449" s="273" t="s">
        <v>479</v>
      </c>
      <c r="C449" s="273" t="s">
        <v>481</v>
      </c>
      <c r="D449" s="188">
        <v>6611</v>
      </c>
      <c r="E449" s="192" t="s">
        <v>6</v>
      </c>
      <c r="F449" s="226">
        <v>10</v>
      </c>
      <c r="G449" s="98">
        <v>92518356</v>
      </c>
      <c r="H449" s="242">
        <v>92909902.63</v>
      </c>
      <c r="I449" s="242">
        <v>92518356</v>
      </c>
      <c r="J449" s="326"/>
      <c r="K449" s="614">
        <f t="shared" si="12"/>
        <v>92518356</v>
      </c>
      <c r="L449" s="614">
        <f t="shared" si="13"/>
        <v>-391546.62999999523</v>
      </c>
    </row>
    <row r="450" spans="1:12" ht="30" customHeight="1">
      <c r="A450" s="241" t="s">
        <v>81</v>
      </c>
      <c r="B450" s="273" t="s">
        <v>479</v>
      </c>
      <c r="C450" s="273" t="s">
        <v>481</v>
      </c>
      <c r="D450" s="188">
        <v>6161</v>
      </c>
      <c r="E450" s="192" t="s">
        <v>257</v>
      </c>
      <c r="F450" s="226"/>
      <c r="G450" s="242"/>
      <c r="H450" s="242"/>
      <c r="I450" s="242"/>
      <c r="J450" s="98"/>
      <c r="K450" s="614">
        <f t="shared" si="12"/>
        <v>0</v>
      </c>
      <c r="L450" s="614">
        <f t="shared" si="13"/>
        <v>0</v>
      </c>
    </row>
    <row r="451" spans="1:12" ht="30" customHeight="1">
      <c r="A451" s="241" t="s">
        <v>81</v>
      </c>
      <c r="B451" s="273" t="s">
        <v>479</v>
      </c>
      <c r="C451" s="273" t="s">
        <v>481</v>
      </c>
      <c r="D451" s="188">
        <v>6173</v>
      </c>
      <c r="E451" s="192" t="s">
        <v>19</v>
      </c>
      <c r="F451" s="226"/>
      <c r="G451" s="242">
        <v>3800000</v>
      </c>
      <c r="H451" s="242">
        <v>2850000</v>
      </c>
      <c r="I451" s="242">
        <v>3800000</v>
      </c>
      <c r="J451" s="326"/>
      <c r="K451" s="614">
        <f t="shared" si="12"/>
        <v>3800000</v>
      </c>
      <c r="L451" s="614">
        <f t="shared" si="13"/>
        <v>950000</v>
      </c>
    </row>
    <row r="452" spans="1:12" ht="30" customHeight="1">
      <c r="A452" s="241" t="s">
        <v>81</v>
      </c>
      <c r="B452" s="273" t="s">
        <v>479</v>
      </c>
      <c r="C452" s="273" t="s">
        <v>481</v>
      </c>
      <c r="D452" s="257" t="s">
        <v>20</v>
      </c>
      <c r="E452" s="226"/>
      <c r="F452" s="98">
        <f>SUBTOTAL(109,F449:F451)</f>
        <v>10</v>
      </c>
      <c r="G452" s="98">
        <f>SUBTOTAL(109,G449:G451)</f>
        <v>96318356</v>
      </c>
      <c r="H452" s="98">
        <f>SUBTOTAL(109,H449:H451)</f>
        <v>95759902.63</v>
      </c>
      <c r="I452" s="98">
        <f>SUBTOTAL(109,I449:I451)</f>
        <v>96318356</v>
      </c>
      <c r="J452" s="326"/>
      <c r="K452" s="614">
        <f t="shared" si="12"/>
        <v>96318356</v>
      </c>
      <c r="L452" s="614">
        <f t="shared" si="13"/>
        <v>558453.3700000048</v>
      </c>
    </row>
    <row r="453" spans="1:12" ht="30" customHeight="1">
      <c r="A453" s="241" t="s">
        <v>81</v>
      </c>
      <c r="B453" s="273" t="s">
        <v>406</v>
      </c>
      <c r="C453" s="273" t="s">
        <v>481</v>
      </c>
      <c r="D453" s="195" t="s">
        <v>309</v>
      </c>
      <c r="E453" s="226"/>
      <c r="F453" s="226"/>
      <c r="G453" s="242"/>
      <c r="H453" s="242"/>
      <c r="I453" s="242"/>
      <c r="J453" s="326"/>
      <c r="K453" s="614">
        <f t="shared" si="12"/>
        <v>0</v>
      </c>
      <c r="L453" s="614">
        <f t="shared" si="13"/>
        <v>0</v>
      </c>
    </row>
    <row r="454" spans="1:12" ht="30" customHeight="1">
      <c r="A454" s="241" t="s">
        <v>81</v>
      </c>
      <c r="B454" s="273" t="s">
        <v>406</v>
      </c>
      <c r="C454" s="273" t="s">
        <v>481</v>
      </c>
      <c r="D454" s="188">
        <v>6611</v>
      </c>
      <c r="E454" s="192" t="s">
        <v>6</v>
      </c>
      <c r="F454" s="226">
        <v>8</v>
      </c>
      <c r="G454" s="242">
        <v>36738552</v>
      </c>
      <c r="H454" s="242">
        <v>49021692.040000014</v>
      </c>
      <c r="I454" s="242">
        <v>36738552</v>
      </c>
      <c r="J454" s="326"/>
      <c r="K454" s="614">
        <f aca="true" t="shared" si="14" ref="K454:K517">I454+J454</f>
        <v>36738552</v>
      </c>
      <c r="L454" s="614">
        <f t="shared" si="13"/>
        <v>-12283140.040000014</v>
      </c>
    </row>
    <row r="455" spans="1:12" ht="30" customHeight="1">
      <c r="A455" s="241" t="s">
        <v>81</v>
      </c>
      <c r="B455" s="273" t="s">
        <v>406</v>
      </c>
      <c r="C455" s="273" t="s">
        <v>481</v>
      </c>
      <c r="D455" s="188">
        <v>6143</v>
      </c>
      <c r="E455" s="192" t="s">
        <v>287</v>
      </c>
      <c r="F455" s="226"/>
      <c r="G455" s="242"/>
      <c r="H455" s="242"/>
      <c r="I455" s="242"/>
      <c r="J455" s="98"/>
      <c r="K455" s="614">
        <f t="shared" si="14"/>
        <v>0</v>
      </c>
      <c r="L455" s="614">
        <f aca="true" t="shared" si="15" ref="L455:L518">K455-H455</f>
        <v>0</v>
      </c>
    </row>
    <row r="456" spans="1:12" ht="30" customHeight="1">
      <c r="A456" s="241" t="s">
        <v>81</v>
      </c>
      <c r="B456" s="273" t="s">
        <v>406</v>
      </c>
      <c r="C456" s="273" t="s">
        <v>481</v>
      </c>
      <c r="D456" s="188">
        <v>6173</v>
      </c>
      <c r="E456" s="192" t="s">
        <v>19</v>
      </c>
      <c r="F456" s="226"/>
      <c r="G456" s="242">
        <v>5500000</v>
      </c>
      <c r="H456" s="242">
        <v>4125000</v>
      </c>
      <c r="I456" s="242">
        <v>5500000</v>
      </c>
      <c r="J456" s="326"/>
      <c r="K456" s="614">
        <f t="shared" si="14"/>
        <v>5500000</v>
      </c>
      <c r="L456" s="614">
        <f t="shared" si="15"/>
        <v>1375000</v>
      </c>
    </row>
    <row r="457" spans="1:12" ht="30" customHeight="1">
      <c r="A457" s="241" t="s">
        <v>81</v>
      </c>
      <c r="B457" s="273" t="s">
        <v>406</v>
      </c>
      <c r="C457" s="273" t="s">
        <v>481</v>
      </c>
      <c r="D457" s="257" t="s">
        <v>20</v>
      </c>
      <c r="E457" s="226"/>
      <c r="F457" s="98">
        <f>SUBTOTAL(109,F454:F456)</f>
        <v>8</v>
      </c>
      <c r="G457" s="98">
        <f>SUBTOTAL(109,G454:G456)</f>
        <v>42238552</v>
      </c>
      <c r="H457" s="98">
        <f>SUBTOTAL(109,H454:H456)</f>
        <v>53146692.040000014</v>
      </c>
      <c r="I457" s="98">
        <f>SUBTOTAL(109,I454:I456)</f>
        <v>42238552</v>
      </c>
      <c r="J457" s="326"/>
      <c r="K457" s="614">
        <f t="shared" si="14"/>
        <v>42238552</v>
      </c>
      <c r="L457" s="614">
        <f t="shared" si="15"/>
        <v>-10908140.040000014</v>
      </c>
    </row>
    <row r="458" spans="1:12" ht="30" customHeight="1">
      <c r="A458" s="241" t="s">
        <v>81</v>
      </c>
      <c r="B458" s="273" t="s">
        <v>407</v>
      </c>
      <c r="C458" s="273" t="s">
        <v>481</v>
      </c>
      <c r="D458" s="195" t="s">
        <v>86</v>
      </c>
      <c r="E458" s="226"/>
      <c r="F458" s="226"/>
      <c r="G458" s="242"/>
      <c r="H458" s="242"/>
      <c r="I458" s="242"/>
      <c r="J458" s="326"/>
      <c r="K458" s="614">
        <f t="shared" si="14"/>
        <v>0</v>
      </c>
      <c r="L458" s="614">
        <f t="shared" si="15"/>
        <v>0</v>
      </c>
    </row>
    <row r="459" spans="1:12" ht="30" customHeight="1">
      <c r="A459" s="241" t="s">
        <v>81</v>
      </c>
      <c r="B459" s="273" t="s">
        <v>407</v>
      </c>
      <c r="C459" s="273" t="s">
        <v>481</v>
      </c>
      <c r="D459" s="188">
        <v>6611</v>
      </c>
      <c r="E459" s="192" t="s">
        <v>6</v>
      </c>
      <c r="F459" s="226">
        <v>7</v>
      </c>
      <c r="G459" s="242">
        <v>46848444</v>
      </c>
      <c r="H459" s="242">
        <v>49860847.84</v>
      </c>
      <c r="I459" s="242">
        <v>46848444</v>
      </c>
      <c r="J459" s="98"/>
      <c r="K459" s="614">
        <f t="shared" si="14"/>
        <v>46848444</v>
      </c>
      <c r="L459" s="614">
        <f t="shared" si="15"/>
        <v>-3012403.8400000036</v>
      </c>
    </row>
    <row r="460" spans="1:12" ht="30" customHeight="1">
      <c r="A460" s="241" t="s">
        <v>81</v>
      </c>
      <c r="B460" s="273" t="s">
        <v>407</v>
      </c>
      <c r="C460" s="273" t="s">
        <v>481</v>
      </c>
      <c r="D460" s="188">
        <v>6143</v>
      </c>
      <c r="E460" s="192" t="s">
        <v>287</v>
      </c>
      <c r="F460" s="226"/>
      <c r="G460" s="242"/>
      <c r="H460" s="242"/>
      <c r="I460" s="242"/>
      <c r="J460" s="326"/>
      <c r="K460" s="614">
        <f t="shared" si="14"/>
        <v>0</v>
      </c>
      <c r="L460" s="614">
        <f t="shared" si="15"/>
        <v>0</v>
      </c>
    </row>
    <row r="461" spans="1:12" ht="30" customHeight="1">
      <c r="A461" s="241" t="s">
        <v>81</v>
      </c>
      <c r="B461" s="273" t="s">
        <v>407</v>
      </c>
      <c r="C461" s="273" t="s">
        <v>481</v>
      </c>
      <c r="D461" s="188">
        <v>6173</v>
      </c>
      <c r="E461" s="192" t="s">
        <v>19</v>
      </c>
      <c r="F461" s="226"/>
      <c r="G461" s="242">
        <v>5850000</v>
      </c>
      <c r="H461" s="242">
        <v>4387500</v>
      </c>
      <c r="I461" s="242">
        <f>5850000</f>
        <v>5850000</v>
      </c>
      <c r="J461" s="326"/>
      <c r="K461" s="614">
        <f t="shared" si="14"/>
        <v>5850000</v>
      </c>
      <c r="L461" s="614">
        <f t="shared" si="15"/>
        <v>1462500</v>
      </c>
    </row>
    <row r="462" spans="1:12" ht="30" customHeight="1">
      <c r="A462" s="241" t="s">
        <v>81</v>
      </c>
      <c r="B462" s="273" t="s">
        <v>407</v>
      </c>
      <c r="C462" s="273" t="s">
        <v>481</v>
      </c>
      <c r="D462" s="257" t="s">
        <v>20</v>
      </c>
      <c r="E462" s="226"/>
      <c r="F462" s="98">
        <f>SUBTOTAL(109,F459:F461)</f>
        <v>7</v>
      </c>
      <c r="G462" s="98">
        <f>SUBTOTAL(109,G459:G461)</f>
        <v>52698444</v>
      </c>
      <c r="H462" s="98">
        <f>SUBTOTAL(109,H459:H461)</f>
        <v>54248347.84</v>
      </c>
      <c r="I462" s="98">
        <f>SUBTOTAL(109,I459:I461)</f>
        <v>52698444</v>
      </c>
      <c r="J462" s="326"/>
      <c r="K462" s="614">
        <f t="shared" si="14"/>
        <v>52698444</v>
      </c>
      <c r="L462" s="614">
        <f t="shared" si="15"/>
        <v>-1549903.8400000036</v>
      </c>
    </row>
    <row r="463" spans="1:12" ht="30" customHeight="1">
      <c r="A463" s="241" t="s">
        <v>81</v>
      </c>
      <c r="B463" s="273" t="s">
        <v>408</v>
      </c>
      <c r="C463" s="273" t="s">
        <v>481</v>
      </c>
      <c r="D463" s="255" t="s">
        <v>87</v>
      </c>
      <c r="E463" s="226"/>
      <c r="F463" s="226"/>
      <c r="G463" s="242"/>
      <c r="H463" s="242"/>
      <c r="I463" s="242"/>
      <c r="J463" s="98"/>
      <c r="K463" s="614">
        <f t="shared" si="14"/>
        <v>0</v>
      </c>
      <c r="L463" s="614">
        <f t="shared" si="15"/>
        <v>0</v>
      </c>
    </row>
    <row r="464" spans="1:12" ht="30" customHeight="1">
      <c r="A464" s="241" t="s">
        <v>81</v>
      </c>
      <c r="B464" s="273" t="s">
        <v>408</v>
      </c>
      <c r="C464" s="273" t="s">
        <v>481</v>
      </c>
      <c r="D464" s="188">
        <v>6611</v>
      </c>
      <c r="E464" s="192" t="s">
        <v>6</v>
      </c>
      <c r="F464" s="226">
        <v>6</v>
      </c>
      <c r="G464" s="242">
        <v>44694384</v>
      </c>
      <c r="H464" s="242">
        <v>42482753.02</v>
      </c>
      <c r="I464" s="242">
        <v>44694384</v>
      </c>
      <c r="J464" s="326"/>
      <c r="K464" s="614">
        <f t="shared" si="14"/>
        <v>44694384</v>
      </c>
      <c r="L464" s="614">
        <f t="shared" si="15"/>
        <v>2211630.9799999967</v>
      </c>
    </row>
    <row r="465" spans="1:12" ht="30" customHeight="1">
      <c r="A465" s="241" t="s">
        <v>81</v>
      </c>
      <c r="B465" s="273" t="s">
        <v>408</v>
      </c>
      <c r="C465" s="273" t="s">
        <v>481</v>
      </c>
      <c r="D465" s="188">
        <v>6173</v>
      </c>
      <c r="E465" s="192" t="s">
        <v>19</v>
      </c>
      <c r="F465" s="226"/>
      <c r="G465" s="242">
        <v>4008000</v>
      </c>
      <c r="H465" s="242">
        <v>3006000</v>
      </c>
      <c r="I465" s="242">
        <v>4008000</v>
      </c>
      <c r="J465" s="326"/>
      <c r="K465" s="614">
        <f t="shared" si="14"/>
        <v>4008000</v>
      </c>
      <c r="L465" s="614">
        <f t="shared" si="15"/>
        <v>1002000</v>
      </c>
    </row>
    <row r="466" spans="1:12" ht="30" customHeight="1">
      <c r="A466" s="241" t="s">
        <v>81</v>
      </c>
      <c r="B466" s="273" t="s">
        <v>408</v>
      </c>
      <c r="C466" s="273" t="s">
        <v>481</v>
      </c>
      <c r="D466" s="257" t="s">
        <v>20</v>
      </c>
      <c r="E466" s="226"/>
      <c r="F466" s="98">
        <f>SUBTOTAL(109,F464:F465)</f>
        <v>6</v>
      </c>
      <c r="G466" s="98">
        <f>SUBTOTAL(109,G464:G465)</f>
        <v>48702384</v>
      </c>
      <c r="H466" s="98">
        <f>SUBTOTAL(109,H464:H465)</f>
        <v>45488753.02</v>
      </c>
      <c r="I466" s="98">
        <f>SUBTOTAL(109,I464:I465)</f>
        <v>48702384</v>
      </c>
      <c r="J466" s="326"/>
      <c r="K466" s="614">
        <f t="shared" si="14"/>
        <v>48702384</v>
      </c>
      <c r="L466" s="614">
        <f t="shared" si="15"/>
        <v>3213630.9799999967</v>
      </c>
    </row>
    <row r="467" spans="1:12" ht="30" customHeight="1">
      <c r="A467" s="241" t="s">
        <v>81</v>
      </c>
      <c r="B467" s="273" t="s">
        <v>409</v>
      </c>
      <c r="C467" s="273" t="s">
        <v>481</v>
      </c>
      <c r="D467" s="255" t="s">
        <v>88</v>
      </c>
      <c r="E467" s="226"/>
      <c r="F467" s="226"/>
      <c r="G467" s="242"/>
      <c r="H467" s="242"/>
      <c r="I467" s="242"/>
      <c r="J467" s="326"/>
      <c r="K467" s="614">
        <f t="shared" si="14"/>
        <v>0</v>
      </c>
      <c r="L467" s="614">
        <f t="shared" si="15"/>
        <v>0</v>
      </c>
    </row>
    <row r="468" spans="1:12" ht="30" customHeight="1">
      <c r="A468" s="241" t="s">
        <v>81</v>
      </c>
      <c r="B468" s="273" t="s">
        <v>409</v>
      </c>
      <c r="C468" s="273" t="s">
        <v>481</v>
      </c>
      <c r="D468" s="188">
        <v>6611</v>
      </c>
      <c r="E468" s="192" t="s">
        <v>6</v>
      </c>
      <c r="F468" s="226">
        <v>1</v>
      </c>
      <c r="G468" s="242">
        <v>0</v>
      </c>
      <c r="H468" s="242"/>
      <c r="I468" s="242">
        <v>0</v>
      </c>
      <c r="J468" s="98"/>
      <c r="K468" s="614">
        <f t="shared" si="14"/>
        <v>0</v>
      </c>
      <c r="L468" s="614">
        <f t="shared" si="15"/>
        <v>0</v>
      </c>
    </row>
    <row r="469" spans="1:12" ht="30" customHeight="1">
      <c r="A469" s="241" t="s">
        <v>81</v>
      </c>
      <c r="B469" s="273" t="s">
        <v>409</v>
      </c>
      <c r="C469" s="273" t="s">
        <v>481</v>
      </c>
      <c r="D469" s="188">
        <v>6173</v>
      </c>
      <c r="E469" s="192" t="s">
        <v>19</v>
      </c>
      <c r="F469" s="226"/>
      <c r="G469" s="242">
        <v>0</v>
      </c>
      <c r="H469" s="242"/>
      <c r="I469" s="242">
        <v>0</v>
      </c>
      <c r="J469" s="326"/>
      <c r="K469" s="614">
        <f t="shared" si="14"/>
        <v>0</v>
      </c>
      <c r="L469" s="614">
        <f t="shared" si="15"/>
        <v>0</v>
      </c>
    </row>
    <row r="470" spans="1:12" ht="30" customHeight="1">
      <c r="A470" s="241" t="s">
        <v>81</v>
      </c>
      <c r="B470" s="273" t="s">
        <v>409</v>
      </c>
      <c r="C470" s="273" t="s">
        <v>481</v>
      </c>
      <c r="D470" s="257" t="s">
        <v>20</v>
      </c>
      <c r="E470" s="226"/>
      <c r="F470" s="98">
        <f>SUBTOTAL(109,F468:F469)</f>
        <v>1</v>
      </c>
      <c r="G470" s="98">
        <f>SUBTOTAL(109,G468:G469)</f>
        <v>0</v>
      </c>
      <c r="H470" s="98">
        <f>SUBTOTAL(109,H469:H469)</f>
        <v>0</v>
      </c>
      <c r="I470" s="98">
        <f>SUBTOTAL(109,I468:I469)</f>
        <v>0</v>
      </c>
      <c r="J470" s="326"/>
      <c r="K470" s="614">
        <f t="shared" si="14"/>
        <v>0</v>
      </c>
      <c r="L470" s="614">
        <f t="shared" si="15"/>
        <v>0</v>
      </c>
    </row>
    <row r="471" spans="1:12" ht="30" customHeight="1">
      <c r="A471" s="241" t="s">
        <v>81</v>
      </c>
      <c r="B471" s="273" t="s">
        <v>410</v>
      </c>
      <c r="C471" s="273" t="s">
        <v>481</v>
      </c>
      <c r="D471" s="252" t="s">
        <v>212</v>
      </c>
      <c r="E471" s="226"/>
      <c r="F471" s="226"/>
      <c r="G471" s="242"/>
      <c r="H471" s="242"/>
      <c r="I471" s="242"/>
      <c r="J471" s="326"/>
      <c r="K471" s="614">
        <f t="shared" si="14"/>
        <v>0</v>
      </c>
      <c r="L471" s="614">
        <f t="shared" si="15"/>
        <v>0</v>
      </c>
    </row>
    <row r="472" spans="1:12" ht="30" customHeight="1">
      <c r="A472" s="241" t="s">
        <v>81</v>
      </c>
      <c r="B472" s="273" t="s">
        <v>410</v>
      </c>
      <c r="C472" s="273" t="s">
        <v>481</v>
      </c>
      <c r="D472" s="188">
        <v>6611</v>
      </c>
      <c r="E472" s="192" t="s">
        <v>6</v>
      </c>
      <c r="F472" s="226">
        <v>31</v>
      </c>
      <c r="G472" s="242">
        <v>54291894</v>
      </c>
      <c r="H472" s="242">
        <v>53304761.32</v>
      </c>
      <c r="I472" s="242">
        <v>54291894</v>
      </c>
      <c r="J472" s="326"/>
      <c r="K472" s="614">
        <f t="shared" si="14"/>
        <v>54291894</v>
      </c>
      <c r="L472" s="614">
        <f t="shared" si="15"/>
        <v>987132.6799999997</v>
      </c>
    </row>
    <row r="473" spans="1:12" ht="30" customHeight="1">
      <c r="A473" s="241" t="s">
        <v>81</v>
      </c>
      <c r="B473" s="273" t="s">
        <v>410</v>
      </c>
      <c r="C473" s="273" t="s">
        <v>481</v>
      </c>
      <c r="D473" s="188">
        <v>6161</v>
      </c>
      <c r="E473" s="192" t="s">
        <v>257</v>
      </c>
      <c r="F473" s="226"/>
      <c r="G473" s="242"/>
      <c r="H473" s="242"/>
      <c r="I473" s="242"/>
      <c r="J473" s="98"/>
      <c r="K473" s="614">
        <f t="shared" si="14"/>
        <v>0</v>
      </c>
      <c r="L473" s="614">
        <f t="shared" si="15"/>
        <v>0</v>
      </c>
    </row>
    <row r="474" spans="1:12" ht="30" customHeight="1">
      <c r="A474" s="241" t="s">
        <v>81</v>
      </c>
      <c r="B474" s="273" t="s">
        <v>410</v>
      </c>
      <c r="C474" s="273" t="s">
        <v>481</v>
      </c>
      <c r="D474" s="188">
        <v>6173</v>
      </c>
      <c r="E474" s="192" t="s">
        <v>19</v>
      </c>
      <c r="F474" s="226"/>
      <c r="G474" s="242">
        <v>3000000</v>
      </c>
      <c r="H474" s="242">
        <v>2250000</v>
      </c>
      <c r="I474" s="242">
        <v>3000000</v>
      </c>
      <c r="J474" s="326"/>
      <c r="K474" s="614">
        <f t="shared" si="14"/>
        <v>3000000</v>
      </c>
      <c r="L474" s="614">
        <f t="shared" si="15"/>
        <v>750000</v>
      </c>
    </row>
    <row r="475" spans="1:12" ht="30" customHeight="1">
      <c r="A475" s="241" t="s">
        <v>81</v>
      </c>
      <c r="B475" s="273" t="s">
        <v>410</v>
      </c>
      <c r="C475" s="273" t="s">
        <v>481</v>
      </c>
      <c r="D475" s="257" t="s">
        <v>20</v>
      </c>
      <c r="E475" s="226"/>
      <c r="F475" s="98">
        <f>SUBTOTAL(109,F472:F474)</f>
        <v>31</v>
      </c>
      <c r="G475" s="98">
        <f>SUBTOTAL(109,G472:G474)</f>
        <v>57291894</v>
      </c>
      <c r="H475" s="98">
        <f>SUBTOTAL(109,H472:H474)</f>
        <v>55554761.32</v>
      </c>
      <c r="I475" s="98">
        <f>SUBTOTAL(109,I472:I474)</f>
        <v>57291894</v>
      </c>
      <c r="J475" s="326"/>
      <c r="K475" s="614">
        <f t="shared" si="14"/>
        <v>57291894</v>
      </c>
      <c r="L475" s="614">
        <f t="shared" si="15"/>
        <v>1737132.6799999997</v>
      </c>
    </row>
    <row r="476" spans="1:12" ht="30" customHeight="1">
      <c r="A476" s="241" t="s">
        <v>81</v>
      </c>
      <c r="B476" s="273" t="s">
        <v>411</v>
      </c>
      <c r="C476" s="273" t="s">
        <v>481</v>
      </c>
      <c r="D476" s="255" t="s">
        <v>89</v>
      </c>
      <c r="E476" s="226"/>
      <c r="F476" s="226"/>
      <c r="G476" s="242"/>
      <c r="H476" s="242"/>
      <c r="I476" s="242"/>
      <c r="J476" s="326"/>
      <c r="K476" s="614">
        <f t="shared" si="14"/>
        <v>0</v>
      </c>
      <c r="L476" s="614">
        <f t="shared" si="15"/>
        <v>0</v>
      </c>
    </row>
    <row r="477" spans="1:12" ht="30" customHeight="1">
      <c r="A477" s="241" t="s">
        <v>81</v>
      </c>
      <c r="B477" s="273" t="s">
        <v>411</v>
      </c>
      <c r="C477" s="273" t="s">
        <v>481</v>
      </c>
      <c r="D477" s="188">
        <v>6611</v>
      </c>
      <c r="E477" s="192" t="s">
        <v>6</v>
      </c>
      <c r="F477" s="226">
        <v>5</v>
      </c>
      <c r="G477" s="242">
        <v>27616380</v>
      </c>
      <c r="H477" s="242">
        <v>34814494.32</v>
      </c>
      <c r="I477" s="242">
        <v>27616380</v>
      </c>
      <c r="J477" s="326"/>
      <c r="K477" s="614">
        <f t="shared" si="14"/>
        <v>27616380</v>
      </c>
      <c r="L477" s="614">
        <f t="shared" si="15"/>
        <v>-7198114.32</v>
      </c>
    </row>
    <row r="478" spans="1:12" ht="30" customHeight="1">
      <c r="A478" s="241" t="s">
        <v>81</v>
      </c>
      <c r="B478" s="273" t="s">
        <v>411</v>
      </c>
      <c r="C478" s="273" t="s">
        <v>481</v>
      </c>
      <c r="D478" s="188">
        <v>6143</v>
      </c>
      <c r="E478" s="192" t="s">
        <v>287</v>
      </c>
      <c r="F478" s="226"/>
      <c r="G478" s="242"/>
      <c r="H478" s="242"/>
      <c r="I478" s="242"/>
      <c r="J478" s="98"/>
      <c r="K478" s="614">
        <f t="shared" si="14"/>
        <v>0</v>
      </c>
      <c r="L478" s="614">
        <f t="shared" si="15"/>
        <v>0</v>
      </c>
    </row>
    <row r="479" spans="1:12" ht="30" customHeight="1">
      <c r="A479" s="241" t="s">
        <v>81</v>
      </c>
      <c r="B479" s="273" t="s">
        <v>411</v>
      </c>
      <c r="C479" s="273" t="s">
        <v>481</v>
      </c>
      <c r="D479" s="188">
        <v>6173</v>
      </c>
      <c r="E479" s="192" t="s">
        <v>19</v>
      </c>
      <c r="F479" s="226"/>
      <c r="G479" s="242">
        <v>5000000</v>
      </c>
      <c r="H479" s="242">
        <v>3750000</v>
      </c>
      <c r="I479" s="242">
        <v>5000000</v>
      </c>
      <c r="J479" s="326"/>
      <c r="K479" s="614">
        <f t="shared" si="14"/>
        <v>5000000</v>
      </c>
      <c r="L479" s="614">
        <f t="shared" si="15"/>
        <v>1250000</v>
      </c>
    </row>
    <row r="480" spans="1:12" ht="30" customHeight="1">
      <c r="A480" s="241" t="s">
        <v>81</v>
      </c>
      <c r="B480" s="273" t="s">
        <v>411</v>
      </c>
      <c r="C480" s="273" t="s">
        <v>481</v>
      </c>
      <c r="D480" s="257" t="s">
        <v>20</v>
      </c>
      <c r="E480" s="226"/>
      <c r="F480" s="98">
        <f>SUBTOTAL(109,F477:F479)</f>
        <v>5</v>
      </c>
      <c r="G480" s="98">
        <f>SUBTOTAL(109,G477:G479)</f>
        <v>32616380</v>
      </c>
      <c r="H480" s="98">
        <f>SUBTOTAL(109,H477:H479)</f>
        <v>38564494.32</v>
      </c>
      <c r="I480" s="98">
        <f>SUBTOTAL(109,I477:I479)</f>
        <v>32616380</v>
      </c>
      <c r="J480" s="326"/>
      <c r="K480" s="614">
        <f t="shared" si="14"/>
        <v>32616380</v>
      </c>
      <c r="L480" s="614">
        <f t="shared" si="15"/>
        <v>-5948114.32</v>
      </c>
    </row>
    <row r="481" spans="1:12" ht="30" customHeight="1">
      <c r="A481" s="241" t="s">
        <v>81</v>
      </c>
      <c r="B481" s="273" t="s">
        <v>412</v>
      </c>
      <c r="C481" s="273" t="s">
        <v>481</v>
      </c>
      <c r="D481" s="255" t="s">
        <v>213</v>
      </c>
      <c r="E481" s="226"/>
      <c r="F481" s="226"/>
      <c r="G481" s="98"/>
      <c r="H481" s="98"/>
      <c r="I481" s="98"/>
      <c r="J481" s="326"/>
      <c r="K481" s="614">
        <f t="shared" si="14"/>
        <v>0</v>
      </c>
      <c r="L481" s="614">
        <f t="shared" si="15"/>
        <v>0</v>
      </c>
    </row>
    <row r="482" spans="1:12" ht="30" customHeight="1">
      <c r="A482" s="241" t="s">
        <v>81</v>
      </c>
      <c r="B482" s="273" t="s">
        <v>412</v>
      </c>
      <c r="C482" s="273" t="s">
        <v>481</v>
      </c>
      <c r="D482" s="188">
        <v>6611</v>
      </c>
      <c r="E482" s="192" t="s">
        <v>6</v>
      </c>
      <c r="F482" s="226">
        <v>3</v>
      </c>
      <c r="G482" s="242">
        <v>38325600</v>
      </c>
      <c r="H482" s="242">
        <v>34496600</v>
      </c>
      <c r="I482" s="242">
        <v>38325600</v>
      </c>
      <c r="J482" s="326"/>
      <c r="K482" s="614">
        <f t="shared" si="14"/>
        <v>38325600</v>
      </c>
      <c r="L482" s="614">
        <f t="shared" si="15"/>
        <v>3829000</v>
      </c>
    </row>
    <row r="483" spans="1:12" ht="30" customHeight="1">
      <c r="A483" s="241" t="s">
        <v>81</v>
      </c>
      <c r="B483" s="273" t="s">
        <v>412</v>
      </c>
      <c r="C483" s="273" t="s">
        <v>481</v>
      </c>
      <c r="D483" s="188">
        <v>6161</v>
      </c>
      <c r="E483" s="192" t="s">
        <v>257</v>
      </c>
      <c r="F483" s="226"/>
      <c r="G483" s="242"/>
      <c r="H483" s="242"/>
      <c r="I483" s="242"/>
      <c r="J483" s="326"/>
      <c r="K483" s="614">
        <f t="shared" si="14"/>
        <v>0</v>
      </c>
      <c r="L483" s="614">
        <f t="shared" si="15"/>
        <v>0</v>
      </c>
    </row>
    <row r="484" spans="1:12" ht="30" customHeight="1">
      <c r="A484" s="241" t="s">
        <v>81</v>
      </c>
      <c r="B484" s="273" t="s">
        <v>412</v>
      </c>
      <c r="C484" s="273" t="s">
        <v>481</v>
      </c>
      <c r="D484" s="188">
        <v>6173</v>
      </c>
      <c r="E484" s="192" t="s">
        <v>19</v>
      </c>
      <c r="F484" s="226"/>
      <c r="G484" s="242">
        <v>2500000</v>
      </c>
      <c r="H484" s="242">
        <v>1875000</v>
      </c>
      <c r="I484" s="242">
        <v>2500000</v>
      </c>
      <c r="J484" s="326"/>
      <c r="K484" s="614">
        <f t="shared" si="14"/>
        <v>2500000</v>
      </c>
      <c r="L484" s="614">
        <f t="shared" si="15"/>
        <v>625000</v>
      </c>
    </row>
    <row r="485" spans="1:12" ht="30" customHeight="1">
      <c r="A485" s="241" t="s">
        <v>81</v>
      </c>
      <c r="B485" s="273" t="s">
        <v>412</v>
      </c>
      <c r="C485" s="273" t="s">
        <v>481</v>
      </c>
      <c r="D485" s="257" t="s">
        <v>20</v>
      </c>
      <c r="E485" s="226"/>
      <c r="F485" s="98">
        <f>SUBTOTAL(109,F482:F484)</f>
        <v>3</v>
      </c>
      <c r="G485" s="98">
        <f>SUBTOTAL(109,G482:G484)</f>
        <v>40825600</v>
      </c>
      <c r="H485" s="98">
        <f>SUBTOTAL(109,H482:H484)</f>
        <v>36371600</v>
      </c>
      <c r="I485" s="98">
        <f>SUBTOTAL(109,I482:I484)</f>
        <v>40825600</v>
      </c>
      <c r="J485" s="326"/>
      <c r="K485" s="614">
        <f t="shared" si="14"/>
        <v>40825600</v>
      </c>
      <c r="L485" s="614">
        <f t="shared" si="15"/>
        <v>4454000</v>
      </c>
    </row>
    <row r="486" spans="1:12" ht="30" customHeight="1">
      <c r="A486" s="241" t="s">
        <v>81</v>
      </c>
      <c r="B486" s="273" t="s">
        <v>413</v>
      </c>
      <c r="C486" s="273" t="s">
        <v>481</v>
      </c>
      <c r="D486" s="255" t="s">
        <v>306</v>
      </c>
      <c r="E486" s="226"/>
      <c r="F486" s="226"/>
      <c r="G486" s="242"/>
      <c r="H486" s="242"/>
      <c r="I486" s="242"/>
      <c r="J486" s="326"/>
      <c r="K486" s="614">
        <f t="shared" si="14"/>
        <v>0</v>
      </c>
      <c r="L486" s="614">
        <f t="shared" si="15"/>
        <v>0</v>
      </c>
    </row>
    <row r="487" spans="1:12" ht="30" customHeight="1">
      <c r="A487" s="241" t="s">
        <v>81</v>
      </c>
      <c r="B487" s="273" t="s">
        <v>413</v>
      </c>
      <c r="C487" s="273" t="s">
        <v>481</v>
      </c>
      <c r="D487" s="188">
        <v>6611</v>
      </c>
      <c r="E487" s="192" t="s">
        <v>6</v>
      </c>
      <c r="F487" s="226">
        <v>6</v>
      </c>
      <c r="G487" s="242">
        <v>14580000</v>
      </c>
      <c r="H487" s="242">
        <v>51663666.599999994</v>
      </c>
      <c r="I487" s="242">
        <v>14580000</v>
      </c>
      <c r="J487" s="98"/>
      <c r="K487" s="614">
        <f t="shared" si="14"/>
        <v>14580000</v>
      </c>
      <c r="L487" s="614">
        <f t="shared" si="15"/>
        <v>-37083666.599999994</v>
      </c>
    </row>
    <row r="488" spans="1:12" ht="30" customHeight="1">
      <c r="A488" s="241" t="s">
        <v>81</v>
      </c>
      <c r="B488" s="273" t="s">
        <v>413</v>
      </c>
      <c r="C488" s="273" t="s">
        <v>481</v>
      </c>
      <c r="D488" s="188">
        <v>6173</v>
      </c>
      <c r="E488" s="192" t="s">
        <v>19</v>
      </c>
      <c r="F488" s="226"/>
      <c r="G488" s="242">
        <v>4000000</v>
      </c>
      <c r="H488" s="242">
        <v>3000000</v>
      </c>
      <c r="I488" s="242">
        <v>4000000</v>
      </c>
      <c r="J488" s="326"/>
      <c r="K488" s="614">
        <f t="shared" si="14"/>
        <v>4000000</v>
      </c>
      <c r="L488" s="614">
        <f t="shared" si="15"/>
        <v>1000000</v>
      </c>
    </row>
    <row r="489" spans="1:12" ht="30" customHeight="1">
      <c r="A489" s="241" t="s">
        <v>81</v>
      </c>
      <c r="B489" s="273" t="s">
        <v>413</v>
      </c>
      <c r="C489" s="273" t="s">
        <v>481</v>
      </c>
      <c r="D489" s="257" t="s">
        <v>20</v>
      </c>
      <c r="E489" s="226"/>
      <c r="F489" s="98">
        <f>SUBTOTAL(109,F487:F488)</f>
        <v>6</v>
      </c>
      <c r="G489" s="98">
        <f>SUBTOTAL(109,G487:G488)</f>
        <v>18580000</v>
      </c>
      <c r="H489" s="98">
        <f>SUBTOTAL(109,H487:H488)</f>
        <v>54663666.599999994</v>
      </c>
      <c r="I489" s="98">
        <f>SUBTOTAL(109,I487:I488)</f>
        <v>18580000</v>
      </c>
      <c r="J489" s="326"/>
      <c r="K489" s="614">
        <f t="shared" si="14"/>
        <v>18580000</v>
      </c>
      <c r="L489" s="614">
        <f t="shared" si="15"/>
        <v>-36083666.599999994</v>
      </c>
    </row>
    <row r="490" spans="1:12" ht="30" customHeight="1">
      <c r="A490" s="241" t="s">
        <v>81</v>
      </c>
      <c r="B490" s="273" t="s">
        <v>414</v>
      </c>
      <c r="C490" s="273" t="s">
        <v>481</v>
      </c>
      <c r="D490" s="254" t="s">
        <v>307</v>
      </c>
      <c r="E490" s="226"/>
      <c r="F490" s="226"/>
      <c r="G490" s="242"/>
      <c r="H490" s="242"/>
      <c r="I490" s="242"/>
      <c r="J490" s="326"/>
      <c r="K490" s="614">
        <f t="shared" si="14"/>
        <v>0</v>
      </c>
      <c r="L490" s="614">
        <f t="shared" si="15"/>
        <v>0</v>
      </c>
    </row>
    <row r="491" spans="1:12" ht="30" customHeight="1">
      <c r="A491" s="241" t="s">
        <v>81</v>
      </c>
      <c r="B491" s="273" t="s">
        <v>414</v>
      </c>
      <c r="C491" s="273" t="s">
        <v>481</v>
      </c>
      <c r="D491" s="188">
        <v>6611</v>
      </c>
      <c r="E491" s="192" t="s">
        <v>6</v>
      </c>
      <c r="F491" s="226">
        <v>4</v>
      </c>
      <c r="G491" s="242">
        <v>16304390</v>
      </c>
      <c r="H491" s="242">
        <v>24522390.360000003</v>
      </c>
      <c r="I491" s="242">
        <v>16304390</v>
      </c>
      <c r="J491" s="326"/>
      <c r="K491" s="614">
        <f t="shared" si="14"/>
        <v>16304390</v>
      </c>
      <c r="L491" s="614">
        <f t="shared" si="15"/>
        <v>-8218000.360000003</v>
      </c>
    </row>
    <row r="492" spans="1:12" ht="30" customHeight="1">
      <c r="A492" s="241" t="s">
        <v>81</v>
      </c>
      <c r="B492" s="273" t="s">
        <v>414</v>
      </c>
      <c r="C492" s="273" t="s">
        <v>481</v>
      </c>
      <c r="D492" s="188">
        <v>6161</v>
      </c>
      <c r="E492" s="192" t="s">
        <v>257</v>
      </c>
      <c r="F492" s="226"/>
      <c r="G492" s="242"/>
      <c r="H492" s="242"/>
      <c r="I492" s="242"/>
      <c r="J492" s="326"/>
      <c r="K492" s="614">
        <f t="shared" si="14"/>
        <v>0</v>
      </c>
      <c r="L492" s="614">
        <f t="shared" si="15"/>
        <v>0</v>
      </c>
    </row>
    <row r="493" spans="1:12" ht="30" customHeight="1">
      <c r="A493" s="241" t="s">
        <v>81</v>
      </c>
      <c r="B493" s="273" t="s">
        <v>414</v>
      </c>
      <c r="C493" s="273" t="s">
        <v>481</v>
      </c>
      <c r="D493" s="188">
        <v>6173</v>
      </c>
      <c r="E493" s="192" t="s">
        <v>19</v>
      </c>
      <c r="F493" s="226"/>
      <c r="G493" s="242">
        <v>4300000</v>
      </c>
      <c r="H493" s="242">
        <v>3225000</v>
      </c>
      <c r="I493" s="242">
        <v>4300000</v>
      </c>
      <c r="J493" s="326"/>
      <c r="K493" s="614">
        <f t="shared" si="14"/>
        <v>4300000</v>
      </c>
      <c r="L493" s="614">
        <f t="shared" si="15"/>
        <v>1075000</v>
      </c>
    </row>
    <row r="494" spans="1:12" ht="30" customHeight="1">
      <c r="A494" s="241" t="s">
        <v>81</v>
      </c>
      <c r="B494" s="273" t="s">
        <v>414</v>
      </c>
      <c r="C494" s="273" t="s">
        <v>481</v>
      </c>
      <c r="D494" s="257" t="s">
        <v>20</v>
      </c>
      <c r="E494" s="226"/>
      <c r="F494" s="98">
        <f>SUBTOTAL(109,F491:F493)</f>
        <v>4</v>
      </c>
      <c r="G494" s="98">
        <f>SUBTOTAL(109,G491:G493)</f>
        <v>20604390</v>
      </c>
      <c r="H494" s="98">
        <f>SUBTOTAL(109,H491:H493)</f>
        <v>27747390.360000003</v>
      </c>
      <c r="I494" s="98">
        <f>SUBTOTAL(109,I491:I493)</f>
        <v>20604390</v>
      </c>
      <c r="J494" s="326"/>
      <c r="K494" s="614">
        <f t="shared" si="14"/>
        <v>20604390</v>
      </c>
      <c r="L494" s="614">
        <f t="shared" si="15"/>
        <v>-7143000.360000003</v>
      </c>
    </row>
    <row r="495" spans="1:12" ht="30" customHeight="1">
      <c r="A495" s="241" t="s">
        <v>81</v>
      </c>
      <c r="B495" s="273" t="s">
        <v>415</v>
      </c>
      <c r="C495" s="273" t="s">
        <v>481</v>
      </c>
      <c r="D495" s="254" t="s">
        <v>90</v>
      </c>
      <c r="E495" s="226"/>
      <c r="F495" s="226"/>
      <c r="G495" s="242"/>
      <c r="H495" s="242"/>
      <c r="I495" s="242"/>
      <c r="J495" s="98"/>
      <c r="K495" s="614">
        <f t="shared" si="14"/>
        <v>0</v>
      </c>
      <c r="L495" s="614">
        <f t="shared" si="15"/>
        <v>0</v>
      </c>
    </row>
    <row r="496" spans="1:12" ht="30" customHeight="1">
      <c r="A496" s="241" t="s">
        <v>81</v>
      </c>
      <c r="B496" s="273" t="s">
        <v>415</v>
      </c>
      <c r="C496" s="273" t="s">
        <v>481</v>
      </c>
      <c r="D496" s="188">
        <v>6611</v>
      </c>
      <c r="E496" s="192" t="s">
        <v>6</v>
      </c>
      <c r="F496" s="226">
        <v>2</v>
      </c>
      <c r="G496" s="242">
        <v>8854000</v>
      </c>
      <c r="H496" s="242">
        <v>16545185.029999997</v>
      </c>
      <c r="I496" s="242">
        <v>8854000</v>
      </c>
      <c r="J496" s="326"/>
      <c r="K496" s="614">
        <f t="shared" si="14"/>
        <v>8854000</v>
      </c>
      <c r="L496" s="614">
        <f t="shared" si="15"/>
        <v>-7691185.0299999975</v>
      </c>
    </row>
    <row r="497" spans="1:12" ht="30" customHeight="1">
      <c r="A497" s="241" t="s">
        <v>81</v>
      </c>
      <c r="B497" s="273" t="s">
        <v>415</v>
      </c>
      <c r="C497" s="273" t="s">
        <v>481</v>
      </c>
      <c r="D497" s="188">
        <v>60101</v>
      </c>
      <c r="E497" s="192" t="s">
        <v>265</v>
      </c>
      <c r="F497" s="226"/>
      <c r="G497" s="242"/>
      <c r="H497" s="242"/>
      <c r="I497" s="242"/>
      <c r="J497" s="326"/>
      <c r="K497" s="614">
        <f t="shared" si="14"/>
        <v>0</v>
      </c>
      <c r="L497" s="614">
        <f t="shared" si="15"/>
        <v>0</v>
      </c>
    </row>
    <row r="498" spans="1:12" ht="30" customHeight="1">
      <c r="A498" s="241" t="s">
        <v>81</v>
      </c>
      <c r="B498" s="273" t="s">
        <v>415</v>
      </c>
      <c r="C498" s="273" t="s">
        <v>481</v>
      </c>
      <c r="D498" s="188">
        <v>6161</v>
      </c>
      <c r="E498" s="192" t="s">
        <v>257</v>
      </c>
      <c r="F498" s="226"/>
      <c r="G498" s="242"/>
      <c r="H498" s="242"/>
      <c r="I498" s="242"/>
      <c r="J498" s="326"/>
      <c r="K498" s="614">
        <f t="shared" si="14"/>
        <v>0</v>
      </c>
      <c r="L498" s="614">
        <f t="shared" si="15"/>
        <v>0</v>
      </c>
    </row>
    <row r="499" spans="1:12" ht="30" customHeight="1">
      <c r="A499" s="241" t="s">
        <v>81</v>
      </c>
      <c r="B499" s="273" t="s">
        <v>415</v>
      </c>
      <c r="C499" s="273" t="s">
        <v>481</v>
      </c>
      <c r="D499" s="188">
        <v>6173</v>
      </c>
      <c r="E499" s="192" t="s">
        <v>19</v>
      </c>
      <c r="F499" s="226"/>
      <c r="G499" s="242">
        <v>5000000</v>
      </c>
      <c r="H499" s="242">
        <v>3750000</v>
      </c>
      <c r="I499" s="242">
        <v>5000000</v>
      </c>
      <c r="J499" s="326"/>
      <c r="K499" s="614">
        <f t="shared" si="14"/>
        <v>5000000</v>
      </c>
      <c r="L499" s="614">
        <f t="shared" si="15"/>
        <v>1250000</v>
      </c>
    </row>
    <row r="500" spans="1:12" ht="30" customHeight="1">
      <c r="A500" s="241" t="s">
        <v>81</v>
      </c>
      <c r="B500" s="273" t="s">
        <v>415</v>
      </c>
      <c r="C500" s="273" t="s">
        <v>481</v>
      </c>
      <c r="D500" s="188">
        <v>2164</v>
      </c>
      <c r="E500" s="192" t="s">
        <v>285</v>
      </c>
      <c r="F500" s="226"/>
      <c r="G500" s="226"/>
      <c r="H500" s="242"/>
      <c r="I500" s="242"/>
      <c r="J500" s="98"/>
      <c r="K500" s="614">
        <f t="shared" si="14"/>
        <v>0</v>
      </c>
      <c r="L500" s="614">
        <f t="shared" si="15"/>
        <v>0</v>
      </c>
    </row>
    <row r="501" spans="1:12" ht="30" customHeight="1">
      <c r="A501" s="241" t="s">
        <v>81</v>
      </c>
      <c r="B501" s="273" t="s">
        <v>415</v>
      </c>
      <c r="C501" s="273" t="s">
        <v>481</v>
      </c>
      <c r="D501" s="188">
        <v>2171</v>
      </c>
      <c r="E501" s="192" t="s">
        <v>284</v>
      </c>
      <c r="F501" s="226"/>
      <c r="G501" s="226"/>
      <c r="H501" s="242"/>
      <c r="I501" s="242"/>
      <c r="J501" s="326"/>
      <c r="K501" s="614">
        <f t="shared" si="14"/>
        <v>0</v>
      </c>
      <c r="L501" s="614">
        <f t="shared" si="15"/>
        <v>0</v>
      </c>
    </row>
    <row r="502" spans="1:12" ht="30" customHeight="1">
      <c r="A502" s="241" t="s">
        <v>81</v>
      </c>
      <c r="B502" s="273" t="s">
        <v>415</v>
      </c>
      <c r="C502" s="273" t="s">
        <v>481</v>
      </c>
      <c r="D502" s="257" t="s">
        <v>20</v>
      </c>
      <c r="E502" s="226"/>
      <c r="F502" s="226">
        <f>SUBTOTAL(109,F496:F501)</f>
        <v>2</v>
      </c>
      <c r="G502" s="98">
        <f>SUBTOTAL(109,G496:G499)</f>
        <v>13854000</v>
      </c>
      <c r="H502" s="98">
        <f>SUBTOTAL(109,H496:H499)</f>
        <v>20295185.029999997</v>
      </c>
      <c r="I502" s="98">
        <f>SUBTOTAL(109,I496:I501)</f>
        <v>13854000</v>
      </c>
      <c r="J502" s="326"/>
      <c r="K502" s="614">
        <f t="shared" si="14"/>
        <v>13854000</v>
      </c>
      <c r="L502" s="614">
        <f t="shared" si="15"/>
        <v>-6441185.0299999975</v>
      </c>
    </row>
    <row r="503" spans="1:12" ht="30" customHeight="1">
      <c r="A503" s="241" t="s">
        <v>81</v>
      </c>
      <c r="B503" s="273" t="s">
        <v>416</v>
      </c>
      <c r="C503" s="273" t="s">
        <v>481</v>
      </c>
      <c r="D503" s="254" t="s">
        <v>91</v>
      </c>
      <c r="E503" s="226"/>
      <c r="F503" s="226"/>
      <c r="G503" s="98"/>
      <c r="H503" s="98"/>
      <c r="I503" s="98"/>
      <c r="J503" s="326"/>
      <c r="K503" s="614">
        <f t="shared" si="14"/>
        <v>0</v>
      </c>
      <c r="L503" s="614">
        <f t="shared" si="15"/>
        <v>0</v>
      </c>
    </row>
    <row r="504" spans="1:12" ht="30" customHeight="1">
      <c r="A504" s="241" t="s">
        <v>81</v>
      </c>
      <c r="B504" s="273" t="s">
        <v>416</v>
      </c>
      <c r="C504" s="273" t="s">
        <v>481</v>
      </c>
      <c r="D504" s="188">
        <v>6611</v>
      </c>
      <c r="E504" s="192" t="s">
        <v>6</v>
      </c>
      <c r="F504" s="226">
        <v>2</v>
      </c>
      <c r="G504" s="242">
        <v>6419472</v>
      </c>
      <c r="H504" s="242">
        <v>6839481</v>
      </c>
      <c r="I504" s="242">
        <v>6419472</v>
      </c>
      <c r="J504" s="326"/>
      <c r="K504" s="614">
        <f t="shared" si="14"/>
        <v>6419472</v>
      </c>
      <c r="L504" s="614">
        <f t="shared" si="15"/>
        <v>-420009</v>
      </c>
    </row>
    <row r="505" spans="1:12" ht="30" customHeight="1">
      <c r="A505" s="241" t="s">
        <v>81</v>
      </c>
      <c r="B505" s="273" t="s">
        <v>416</v>
      </c>
      <c r="C505" s="273" t="s">
        <v>481</v>
      </c>
      <c r="D505" s="188">
        <v>6161</v>
      </c>
      <c r="E505" s="192" t="s">
        <v>257</v>
      </c>
      <c r="F505" s="226"/>
      <c r="G505" s="242"/>
      <c r="H505" s="242"/>
      <c r="I505" s="242"/>
      <c r="J505" s="98"/>
      <c r="K505" s="614">
        <f t="shared" si="14"/>
        <v>0</v>
      </c>
      <c r="L505" s="614">
        <f t="shared" si="15"/>
        <v>0</v>
      </c>
    </row>
    <row r="506" spans="1:12" ht="30" customHeight="1">
      <c r="A506" s="241" t="s">
        <v>81</v>
      </c>
      <c r="B506" s="273" t="s">
        <v>416</v>
      </c>
      <c r="C506" s="273" t="s">
        <v>481</v>
      </c>
      <c r="D506" s="188">
        <v>6173</v>
      </c>
      <c r="E506" s="192" t="s">
        <v>19</v>
      </c>
      <c r="F506" s="226"/>
      <c r="G506" s="242">
        <v>3700000</v>
      </c>
      <c r="H506" s="242">
        <v>2775000</v>
      </c>
      <c r="I506" s="242">
        <f>3700000</f>
        <v>3700000</v>
      </c>
      <c r="J506" s="326"/>
      <c r="K506" s="614">
        <f t="shared" si="14"/>
        <v>3700000</v>
      </c>
      <c r="L506" s="614">
        <f t="shared" si="15"/>
        <v>925000</v>
      </c>
    </row>
    <row r="507" spans="1:12" ht="30" customHeight="1">
      <c r="A507" s="241" t="s">
        <v>81</v>
      </c>
      <c r="B507" s="273" t="s">
        <v>416</v>
      </c>
      <c r="C507" s="273" t="s">
        <v>481</v>
      </c>
      <c r="D507" s="257" t="s">
        <v>20</v>
      </c>
      <c r="E507" s="226"/>
      <c r="F507" s="98">
        <f>SUBTOTAL(109,F504:F506)</f>
        <v>2</v>
      </c>
      <c r="G507" s="98">
        <f>SUBTOTAL(109,G504:G506)</f>
        <v>10119472</v>
      </c>
      <c r="H507" s="98">
        <f>SUBTOTAL(109,H504:H506)</f>
        <v>9614481</v>
      </c>
      <c r="I507" s="98">
        <f>SUBTOTAL(109,I504:I506)</f>
        <v>10119472</v>
      </c>
      <c r="J507" s="326"/>
      <c r="K507" s="614">
        <f t="shared" si="14"/>
        <v>10119472</v>
      </c>
      <c r="L507" s="614">
        <f t="shared" si="15"/>
        <v>504991</v>
      </c>
    </row>
    <row r="508" spans="1:12" ht="30" customHeight="1">
      <c r="A508" s="241" t="s">
        <v>81</v>
      </c>
      <c r="B508" s="273" t="s">
        <v>417</v>
      </c>
      <c r="C508" s="273" t="s">
        <v>481</v>
      </c>
      <c r="D508" s="254" t="s">
        <v>308</v>
      </c>
      <c r="E508" s="272"/>
      <c r="F508" s="226"/>
      <c r="G508" s="226"/>
      <c r="H508" s="242"/>
      <c r="I508" s="242"/>
      <c r="J508" s="326"/>
      <c r="K508" s="614">
        <f t="shared" si="14"/>
        <v>0</v>
      </c>
      <c r="L508" s="614">
        <f t="shared" si="15"/>
        <v>0</v>
      </c>
    </row>
    <row r="509" spans="1:12" ht="30" customHeight="1">
      <c r="A509" s="241" t="s">
        <v>81</v>
      </c>
      <c r="B509" s="273" t="s">
        <v>417</v>
      </c>
      <c r="C509" s="273" t="s">
        <v>481</v>
      </c>
      <c r="D509" s="188">
        <v>6611</v>
      </c>
      <c r="E509" s="192" t="s">
        <v>6</v>
      </c>
      <c r="F509" s="226">
        <v>1</v>
      </c>
      <c r="G509" s="242">
        <v>38700000</v>
      </c>
      <c r="H509" s="242">
        <v>45681333.32</v>
      </c>
      <c r="I509" s="242">
        <v>38700000</v>
      </c>
      <c r="J509" s="326"/>
      <c r="K509" s="614">
        <f t="shared" si="14"/>
        <v>38700000</v>
      </c>
      <c r="L509" s="614">
        <f t="shared" si="15"/>
        <v>-6981333.32</v>
      </c>
    </row>
    <row r="510" spans="1:12" ht="30" customHeight="1">
      <c r="A510" s="241" t="s">
        <v>81</v>
      </c>
      <c r="B510" s="273" t="s">
        <v>417</v>
      </c>
      <c r="C510" s="273" t="s">
        <v>481</v>
      </c>
      <c r="D510" s="188">
        <v>6161</v>
      </c>
      <c r="E510" s="192" t="s">
        <v>257</v>
      </c>
      <c r="F510" s="226"/>
      <c r="G510" s="226"/>
      <c r="H510" s="242"/>
      <c r="I510" s="242"/>
      <c r="J510" s="98"/>
      <c r="K510" s="614">
        <f t="shared" si="14"/>
        <v>0</v>
      </c>
      <c r="L510" s="614">
        <f t="shared" si="15"/>
        <v>0</v>
      </c>
    </row>
    <row r="511" spans="1:12" ht="30" customHeight="1">
      <c r="A511" s="241" t="s">
        <v>81</v>
      </c>
      <c r="B511" s="273" t="s">
        <v>417</v>
      </c>
      <c r="C511" s="273" t="s">
        <v>481</v>
      </c>
      <c r="D511" s="188">
        <v>6173</v>
      </c>
      <c r="E511" s="192" t="s">
        <v>19</v>
      </c>
      <c r="F511" s="226"/>
      <c r="G511" s="94">
        <v>4300000</v>
      </c>
      <c r="H511" s="94">
        <v>1075000</v>
      </c>
      <c r="I511" s="94">
        <v>4300000</v>
      </c>
      <c r="J511" s="98"/>
      <c r="K511" s="614">
        <f t="shared" si="14"/>
        <v>4300000</v>
      </c>
      <c r="L511" s="614">
        <f t="shared" si="15"/>
        <v>3225000</v>
      </c>
    </row>
    <row r="512" spans="1:12" ht="30" customHeight="1">
      <c r="A512" s="241" t="s">
        <v>81</v>
      </c>
      <c r="B512" s="273" t="s">
        <v>417</v>
      </c>
      <c r="C512" s="273" t="s">
        <v>481</v>
      </c>
      <c r="D512" s="257" t="s">
        <v>20</v>
      </c>
      <c r="E512" s="226"/>
      <c r="F512" s="226">
        <f>SUM(F509:F511)</f>
        <v>1</v>
      </c>
      <c r="G512" s="98">
        <f>SUM(G509:G511)</f>
        <v>43000000</v>
      </c>
      <c r="H512" s="98">
        <f>SUM(H509:H511)</f>
        <v>46756333.32</v>
      </c>
      <c r="I512" s="98">
        <f>SUM(I509:I511)</f>
        <v>43000000</v>
      </c>
      <c r="J512" s="98"/>
      <c r="K512" s="614">
        <f t="shared" si="14"/>
        <v>43000000</v>
      </c>
      <c r="L512" s="614">
        <f t="shared" si="15"/>
        <v>-3756333.3200000003</v>
      </c>
    </row>
    <row r="513" spans="1:12" ht="30" customHeight="1">
      <c r="A513" s="241" t="s">
        <v>81</v>
      </c>
      <c r="B513" s="273" t="s">
        <v>418</v>
      </c>
      <c r="C513" s="273" t="s">
        <v>481</v>
      </c>
      <c r="D513" s="254" t="s">
        <v>294</v>
      </c>
      <c r="E513" s="272"/>
      <c r="F513" s="226"/>
      <c r="G513" s="226"/>
      <c r="H513" s="226"/>
      <c r="I513" s="267"/>
      <c r="J513" s="98"/>
      <c r="K513" s="614">
        <f t="shared" si="14"/>
        <v>0</v>
      </c>
      <c r="L513" s="614">
        <f t="shared" si="15"/>
        <v>0</v>
      </c>
    </row>
    <row r="514" spans="1:12" ht="30" customHeight="1">
      <c r="A514" s="241" t="s">
        <v>81</v>
      </c>
      <c r="B514" s="273" t="s">
        <v>418</v>
      </c>
      <c r="C514" s="273" t="s">
        <v>481</v>
      </c>
      <c r="D514" s="188">
        <v>6611</v>
      </c>
      <c r="E514" s="192" t="s">
        <v>6</v>
      </c>
      <c r="F514" s="226">
        <v>1</v>
      </c>
      <c r="G514" s="94">
        <v>3524928</v>
      </c>
      <c r="H514" s="94">
        <v>42877887.769999996</v>
      </c>
      <c r="I514" s="242">
        <v>3524928</v>
      </c>
      <c r="J514" s="98"/>
      <c r="K514" s="614">
        <f t="shared" si="14"/>
        <v>3524928</v>
      </c>
      <c r="L514" s="614">
        <f t="shared" si="15"/>
        <v>-39352959.769999996</v>
      </c>
    </row>
    <row r="515" spans="1:12" ht="30" customHeight="1">
      <c r="A515" s="241" t="s">
        <v>81</v>
      </c>
      <c r="B515" s="273" t="s">
        <v>418</v>
      </c>
      <c r="C515" s="273" t="s">
        <v>481</v>
      </c>
      <c r="D515" s="188">
        <v>6161</v>
      </c>
      <c r="E515" s="192" t="s">
        <v>257</v>
      </c>
      <c r="F515" s="226"/>
      <c r="G515" s="226"/>
      <c r="H515" s="226"/>
      <c r="I515" s="267"/>
      <c r="J515" s="98"/>
      <c r="K515" s="614">
        <f t="shared" si="14"/>
        <v>0</v>
      </c>
      <c r="L515" s="614">
        <f t="shared" si="15"/>
        <v>0</v>
      </c>
    </row>
    <row r="516" spans="1:12" ht="30" customHeight="1">
      <c r="A516" s="241" t="s">
        <v>81</v>
      </c>
      <c r="B516" s="273" t="s">
        <v>418</v>
      </c>
      <c r="C516" s="273" t="s">
        <v>481</v>
      </c>
      <c r="D516" s="188">
        <v>6173</v>
      </c>
      <c r="E516" s="192" t="s">
        <v>19</v>
      </c>
      <c r="F516" s="226"/>
      <c r="G516" s="94">
        <v>3500000</v>
      </c>
      <c r="H516" s="94">
        <v>2625000</v>
      </c>
      <c r="I516" s="94">
        <f>3500000</f>
        <v>3500000</v>
      </c>
      <c r="J516" s="326"/>
      <c r="K516" s="614">
        <f t="shared" si="14"/>
        <v>3500000</v>
      </c>
      <c r="L516" s="614">
        <f t="shared" si="15"/>
        <v>875000</v>
      </c>
    </row>
    <row r="517" spans="1:12" ht="30" customHeight="1">
      <c r="A517" s="241" t="s">
        <v>81</v>
      </c>
      <c r="B517" s="273" t="s">
        <v>418</v>
      </c>
      <c r="C517" s="273" t="s">
        <v>481</v>
      </c>
      <c r="D517" s="257" t="s">
        <v>20</v>
      </c>
      <c r="E517" s="226"/>
      <c r="F517" s="226">
        <f>SUM(F514:F516)</f>
        <v>1</v>
      </c>
      <c r="G517" s="98">
        <f>SUM(G514:G516)</f>
        <v>7024928</v>
      </c>
      <c r="H517" s="98">
        <f>SUM(H514:H516)</f>
        <v>45502887.769999996</v>
      </c>
      <c r="I517" s="98">
        <f>SUM(I514:I516)</f>
        <v>7024928</v>
      </c>
      <c r="J517" s="326"/>
      <c r="K517" s="614">
        <f t="shared" si="14"/>
        <v>7024928</v>
      </c>
      <c r="L517" s="614">
        <f t="shared" si="15"/>
        <v>-38477959.769999996</v>
      </c>
    </row>
    <row r="518" spans="1:12" ht="30" customHeight="1">
      <c r="A518" s="241" t="s">
        <v>81</v>
      </c>
      <c r="B518" s="273" t="s">
        <v>419</v>
      </c>
      <c r="C518" s="273" t="s">
        <v>481</v>
      </c>
      <c r="D518" s="254" t="s">
        <v>620</v>
      </c>
      <c r="E518" s="226"/>
      <c r="F518" s="226"/>
      <c r="G518" s="98"/>
      <c r="H518" s="267"/>
      <c r="I518" s="98"/>
      <c r="J518" s="326"/>
      <c r="K518" s="614">
        <f aca="true" t="shared" si="16" ref="K518:K581">I518+J518</f>
        <v>0</v>
      </c>
      <c r="L518" s="614">
        <f t="shared" si="15"/>
        <v>0</v>
      </c>
    </row>
    <row r="519" spans="1:12" ht="30" customHeight="1">
      <c r="A519" s="241" t="s">
        <v>81</v>
      </c>
      <c r="B519" s="273" t="s">
        <v>419</v>
      </c>
      <c r="C519" s="273" t="s">
        <v>481</v>
      </c>
      <c r="D519" s="188">
        <v>6611</v>
      </c>
      <c r="E519" s="192" t="s">
        <v>6</v>
      </c>
      <c r="F519" s="226"/>
      <c r="G519" s="98">
        <v>22173200</v>
      </c>
      <c r="H519" s="242">
        <v>27242200.040000007</v>
      </c>
      <c r="I519" s="94">
        <v>22173200</v>
      </c>
      <c r="J519" s="326"/>
      <c r="K519" s="614">
        <f t="shared" si="16"/>
        <v>22173200</v>
      </c>
      <c r="L519" s="614">
        <f aca="true" t="shared" si="17" ref="L519:L582">K519-H519</f>
        <v>-5069000.040000007</v>
      </c>
    </row>
    <row r="520" spans="1:12" ht="30" customHeight="1">
      <c r="A520" s="241" t="s">
        <v>81</v>
      </c>
      <c r="B520" s="273" t="s">
        <v>419</v>
      </c>
      <c r="C520" s="273" t="s">
        <v>481</v>
      </c>
      <c r="D520" s="188">
        <v>6161</v>
      </c>
      <c r="E520" s="192" t="s">
        <v>257</v>
      </c>
      <c r="F520" s="226"/>
      <c r="G520" s="98"/>
      <c r="H520" s="267"/>
      <c r="I520" s="98"/>
      <c r="J520" s="326"/>
      <c r="K520" s="614">
        <f t="shared" si="16"/>
        <v>0</v>
      </c>
      <c r="L520" s="614">
        <f t="shared" si="17"/>
        <v>0</v>
      </c>
    </row>
    <row r="521" spans="1:12" ht="30" customHeight="1">
      <c r="A521" s="241" t="s">
        <v>81</v>
      </c>
      <c r="B521" s="273" t="s">
        <v>419</v>
      </c>
      <c r="C521" s="273" t="s">
        <v>481</v>
      </c>
      <c r="D521" s="188">
        <v>6173</v>
      </c>
      <c r="E521" s="192" t="s">
        <v>19</v>
      </c>
      <c r="F521" s="226"/>
      <c r="G521" s="98"/>
      <c r="H521" s="267"/>
      <c r="I521" s="98"/>
      <c r="J521" s="582"/>
      <c r="K521" s="614">
        <f t="shared" si="16"/>
        <v>0</v>
      </c>
      <c r="L521" s="614">
        <f t="shared" si="17"/>
        <v>0</v>
      </c>
    </row>
    <row r="522" spans="1:12" ht="30" customHeight="1">
      <c r="A522" s="241" t="s">
        <v>81</v>
      </c>
      <c r="B522" s="273" t="s">
        <v>419</v>
      </c>
      <c r="C522" s="273" t="s">
        <v>481</v>
      </c>
      <c r="D522" s="257" t="s">
        <v>20</v>
      </c>
      <c r="E522" s="226"/>
      <c r="F522" s="226"/>
      <c r="G522" s="98">
        <f>SUM(G519:G521)</f>
        <v>22173200</v>
      </c>
      <c r="H522" s="98">
        <f>SUM(H519:H521)</f>
        <v>27242200.040000007</v>
      </c>
      <c r="I522" s="98">
        <f>SUM(I519:I521)</f>
        <v>22173200</v>
      </c>
      <c r="J522" s="582"/>
      <c r="K522" s="614">
        <f t="shared" si="16"/>
        <v>22173200</v>
      </c>
      <c r="L522" s="614">
        <f t="shared" si="17"/>
        <v>-5069000.040000007</v>
      </c>
    </row>
    <row r="523" spans="1:12" ht="30" customHeight="1">
      <c r="A523" s="241" t="s">
        <v>81</v>
      </c>
      <c r="B523" s="273" t="s">
        <v>529</v>
      </c>
      <c r="C523" s="273" t="s">
        <v>481</v>
      </c>
      <c r="D523" s="254" t="s">
        <v>622</v>
      </c>
      <c r="E523" s="226"/>
      <c r="F523" s="226"/>
      <c r="G523" s="98"/>
      <c r="H523" s="267"/>
      <c r="I523" s="98"/>
      <c r="J523" s="582"/>
      <c r="K523" s="614">
        <f t="shared" si="16"/>
        <v>0</v>
      </c>
      <c r="L523" s="614">
        <f t="shared" si="17"/>
        <v>0</v>
      </c>
    </row>
    <row r="524" spans="1:12" ht="30" customHeight="1">
      <c r="A524" s="241" t="s">
        <v>81</v>
      </c>
      <c r="B524" s="273" t="s">
        <v>529</v>
      </c>
      <c r="C524" s="273" t="s">
        <v>481</v>
      </c>
      <c r="D524" s="188">
        <v>6611</v>
      </c>
      <c r="E524" s="192" t="s">
        <v>6</v>
      </c>
      <c r="F524" s="226"/>
      <c r="G524" s="242">
        <v>48927631</v>
      </c>
      <c r="H524" s="242">
        <v>48878631.20000001</v>
      </c>
      <c r="I524" s="98">
        <v>48927631</v>
      </c>
      <c r="J524" s="582"/>
      <c r="K524" s="614">
        <f t="shared" si="16"/>
        <v>48927631</v>
      </c>
      <c r="L524" s="614">
        <f t="shared" si="17"/>
        <v>48999.79999998957</v>
      </c>
    </row>
    <row r="525" spans="1:12" ht="30" customHeight="1">
      <c r="A525" s="241" t="s">
        <v>81</v>
      </c>
      <c r="B525" s="273" t="s">
        <v>529</v>
      </c>
      <c r="C525" s="273" t="s">
        <v>481</v>
      </c>
      <c r="D525" s="188">
        <v>6161</v>
      </c>
      <c r="E525" s="192" t="s">
        <v>257</v>
      </c>
      <c r="F525" s="226"/>
      <c r="G525" s="98"/>
      <c r="H525" s="267"/>
      <c r="I525" s="98"/>
      <c r="J525" s="582"/>
      <c r="K525" s="614">
        <f t="shared" si="16"/>
        <v>0</v>
      </c>
      <c r="L525" s="614">
        <f t="shared" si="17"/>
        <v>0</v>
      </c>
    </row>
    <row r="526" spans="1:12" ht="30" customHeight="1">
      <c r="A526" s="241" t="s">
        <v>81</v>
      </c>
      <c r="B526" s="273" t="s">
        <v>529</v>
      </c>
      <c r="C526" s="273" t="s">
        <v>481</v>
      </c>
      <c r="D526" s="188">
        <v>6173</v>
      </c>
      <c r="E526" s="192" t="s">
        <v>19</v>
      </c>
      <c r="F526" s="226"/>
      <c r="G526" s="98"/>
      <c r="H526" s="267"/>
      <c r="I526" s="98"/>
      <c r="J526" s="582"/>
      <c r="K526" s="614">
        <f t="shared" si="16"/>
        <v>0</v>
      </c>
      <c r="L526" s="614">
        <f t="shared" si="17"/>
        <v>0</v>
      </c>
    </row>
    <row r="527" spans="1:12" ht="30" customHeight="1">
      <c r="A527" s="241" t="s">
        <v>81</v>
      </c>
      <c r="B527" s="273" t="s">
        <v>529</v>
      </c>
      <c r="C527" s="273" t="s">
        <v>481</v>
      </c>
      <c r="D527" s="257" t="s">
        <v>20</v>
      </c>
      <c r="E527" s="226"/>
      <c r="F527" s="226"/>
      <c r="G527" s="98">
        <f>SUM(G524:G526)</f>
        <v>48927631</v>
      </c>
      <c r="H527" s="98">
        <f>SUM(H524:H526)</f>
        <v>48878631.20000001</v>
      </c>
      <c r="I527" s="98">
        <f>SUM(I524:I526)</f>
        <v>48927631</v>
      </c>
      <c r="J527" s="583"/>
      <c r="K527" s="614">
        <f t="shared" si="16"/>
        <v>48927631</v>
      </c>
      <c r="L527" s="614">
        <f t="shared" si="17"/>
        <v>48999.79999998957</v>
      </c>
    </row>
    <row r="528" spans="1:12" ht="30" customHeight="1">
      <c r="A528" s="241" t="s">
        <v>81</v>
      </c>
      <c r="B528" s="273" t="s">
        <v>621</v>
      </c>
      <c r="C528" s="273" t="s">
        <v>481</v>
      </c>
      <c r="D528" s="195" t="s">
        <v>530</v>
      </c>
      <c r="E528" s="226"/>
      <c r="F528" s="226"/>
      <c r="G528" s="226"/>
      <c r="H528" s="267"/>
      <c r="I528" s="98"/>
      <c r="J528" s="584"/>
      <c r="K528" s="614">
        <f t="shared" si="16"/>
        <v>0</v>
      </c>
      <c r="L528" s="614">
        <f t="shared" si="17"/>
        <v>0</v>
      </c>
    </row>
    <row r="529" spans="1:12" ht="30" customHeight="1">
      <c r="A529" s="241" t="s">
        <v>81</v>
      </c>
      <c r="B529" s="273" t="s">
        <v>621</v>
      </c>
      <c r="C529" s="273" t="s">
        <v>481</v>
      </c>
      <c r="D529" s="188">
        <v>6611</v>
      </c>
      <c r="E529" s="192" t="s">
        <v>6</v>
      </c>
      <c r="F529" s="226"/>
      <c r="G529" s="337"/>
      <c r="H529" s="267"/>
      <c r="I529" s="98"/>
      <c r="J529" s="585"/>
      <c r="K529" s="614">
        <f t="shared" si="16"/>
        <v>0</v>
      </c>
      <c r="L529" s="614">
        <f t="shared" si="17"/>
        <v>0</v>
      </c>
    </row>
    <row r="530" spans="1:12" ht="30" customHeight="1">
      <c r="A530" s="241" t="s">
        <v>81</v>
      </c>
      <c r="B530" s="273" t="s">
        <v>621</v>
      </c>
      <c r="C530" s="273" t="s">
        <v>481</v>
      </c>
      <c r="D530" s="188">
        <v>60100</v>
      </c>
      <c r="E530" s="192" t="s">
        <v>34</v>
      </c>
      <c r="F530" s="226"/>
      <c r="G530" s="202">
        <v>900000</v>
      </c>
      <c r="H530" s="267">
        <v>812450</v>
      </c>
      <c r="I530" s="202">
        <v>900000</v>
      </c>
      <c r="J530" s="586"/>
      <c r="K530" s="614">
        <f t="shared" si="16"/>
        <v>900000</v>
      </c>
      <c r="L530" s="614">
        <f t="shared" si="17"/>
        <v>87550</v>
      </c>
    </row>
    <row r="531" spans="1:12" ht="30" customHeight="1">
      <c r="A531" s="241" t="s">
        <v>81</v>
      </c>
      <c r="B531" s="273" t="s">
        <v>621</v>
      </c>
      <c r="C531" s="273" t="s">
        <v>481</v>
      </c>
      <c r="D531" s="188">
        <v>6122</v>
      </c>
      <c r="E531" s="235" t="s">
        <v>582</v>
      </c>
      <c r="F531" s="226"/>
      <c r="G531" s="202">
        <v>600000</v>
      </c>
      <c r="H531" s="267">
        <v>585500</v>
      </c>
      <c r="I531" s="202">
        <v>600000</v>
      </c>
      <c r="J531" s="586"/>
      <c r="K531" s="614">
        <f t="shared" si="16"/>
        <v>600000</v>
      </c>
      <c r="L531" s="614">
        <f t="shared" si="17"/>
        <v>14500</v>
      </c>
    </row>
    <row r="532" spans="1:12" ht="30" customHeight="1">
      <c r="A532" s="241" t="s">
        <v>81</v>
      </c>
      <c r="B532" s="273" t="s">
        <v>621</v>
      </c>
      <c r="C532" s="273" t="s">
        <v>481</v>
      </c>
      <c r="D532" s="188">
        <v>6175</v>
      </c>
      <c r="E532" s="194" t="s">
        <v>13</v>
      </c>
      <c r="F532" s="226"/>
      <c r="G532" s="242">
        <v>500000</v>
      </c>
      <c r="H532" s="267">
        <v>375000</v>
      </c>
      <c r="I532" s="242">
        <v>500000</v>
      </c>
      <c r="J532" s="586"/>
      <c r="K532" s="614">
        <f t="shared" si="16"/>
        <v>500000</v>
      </c>
      <c r="L532" s="614">
        <f t="shared" si="17"/>
        <v>125000</v>
      </c>
    </row>
    <row r="533" spans="1:12" ht="30" customHeight="1">
      <c r="A533" s="241" t="s">
        <v>81</v>
      </c>
      <c r="B533" s="273" t="s">
        <v>621</v>
      </c>
      <c r="C533" s="273" t="s">
        <v>481</v>
      </c>
      <c r="D533" s="257" t="s">
        <v>20</v>
      </c>
      <c r="E533" s="226"/>
      <c r="F533" s="226">
        <f>F529+F530+F531+F532</f>
        <v>0</v>
      </c>
      <c r="G533" s="98">
        <f>G529+G530+G531+G532</f>
        <v>2000000</v>
      </c>
      <c r="H533" s="98">
        <f>H529+H530+H531+H532</f>
        <v>1772950</v>
      </c>
      <c r="I533" s="98">
        <f>I529+I530+I531+I532</f>
        <v>2000000</v>
      </c>
      <c r="J533" s="98"/>
      <c r="K533" s="614">
        <f t="shared" si="16"/>
        <v>2000000</v>
      </c>
      <c r="L533" s="614">
        <f t="shared" si="17"/>
        <v>227050</v>
      </c>
    </row>
    <row r="534" spans="1:12" ht="30" customHeight="1">
      <c r="A534" s="241" t="s">
        <v>81</v>
      </c>
      <c r="B534" s="273" t="s">
        <v>658</v>
      </c>
      <c r="C534" s="273" t="s">
        <v>481</v>
      </c>
      <c r="D534" s="195" t="s">
        <v>62</v>
      </c>
      <c r="E534" s="226"/>
      <c r="F534" s="226"/>
      <c r="G534" s="226"/>
      <c r="H534" s="226"/>
      <c r="I534" s="98"/>
      <c r="J534" s="98"/>
      <c r="K534" s="614">
        <f t="shared" si="16"/>
        <v>0</v>
      </c>
      <c r="L534" s="614">
        <f t="shared" si="17"/>
        <v>0</v>
      </c>
    </row>
    <row r="535" spans="1:12" ht="30" customHeight="1">
      <c r="A535" s="241" t="s">
        <v>81</v>
      </c>
      <c r="B535" s="273" t="s">
        <v>658</v>
      </c>
      <c r="C535" s="273" t="s">
        <v>481</v>
      </c>
      <c r="D535" s="188">
        <v>2128</v>
      </c>
      <c r="E535" s="192" t="s">
        <v>310</v>
      </c>
      <c r="F535" s="226"/>
      <c r="G535" s="226"/>
      <c r="H535" s="226"/>
      <c r="I535" s="242">
        <v>0</v>
      </c>
      <c r="J535" s="326"/>
      <c r="K535" s="614">
        <f t="shared" si="16"/>
        <v>0</v>
      </c>
      <c r="L535" s="614">
        <f t="shared" si="17"/>
        <v>0</v>
      </c>
    </row>
    <row r="536" spans="1:12" ht="30" customHeight="1">
      <c r="A536" s="241" t="s">
        <v>81</v>
      </c>
      <c r="B536" s="273" t="s">
        <v>658</v>
      </c>
      <c r="C536" s="273" t="s">
        <v>481</v>
      </c>
      <c r="D536" s="257" t="s">
        <v>20</v>
      </c>
      <c r="E536" s="226"/>
      <c r="F536" s="226"/>
      <c r="G536" s="226"/>
      <c r="H536" s="226"/>
      <c r="I536" s="98">
        <f>I535</f>
        <v>0</v>
      </c>
      <c r="J536" s="326"/>
      <c r="K536" s="614">
        <f t="shared" si="16"/>
        <v>0</v>
      </c>
      <c r="L536" s="614">
        <f t="shared" si="17"/>
        <v>0</v>
      </c>
    </row>
    <row r="537" spans="1:12" ht="30" customHeight="1">
      <c r="A537" s="241" t="s">
        <v>81</v>
      </c>
      <c r="B537" s="273" t="s">
        <v>685</v>
      </c>
      <c r="C537" s="273" t="s">
        <v>481</v>
      </c>
      <c r="D537" s="195" t="s">
        <v>686</v>
      </c>
      <c r="E537" s="226"/>
      <c r="F537" s="226"/>
      <c r="G537" s="226"/>
      <c r="H537" s="267"/>
      <c r="I537" s="98"/>
      <c r="J537" s="326"/>
      <c r="K537" s="614">
        <f t="shared" si="16"/>
        <v>0</v>
      </c>
      <c r="L537" s="614">
        <f t="shared" si="17"/>
        <v>0</v>
      </c>
    </row>
    <row r="538" spans="1:12" ht="30" customHeight="1">
      <c r="A538" s="241" t="s">
        <v>81</v>
      </c>
      <c r="B538" s="273" t="s">
        <v>685</v>
      </c>
      <c r="C538" s="273" t="s">
        <v>481</v>
      </c>
      <c r="D538" s="188">
        <v>6311</v>
      </c>
      <c r="E538" s="192" t="s">
        <v>594</v>
      </c>
      <c r="F538" s="226"/>
      <c r="G538" s="226"/>
      <c r="H538" s="267"/>
      <c r="I538" s="242">
        <v>10000000</v>
      </c>
      <c r="J538" s="326"/>
      <c r="K538" s="614">
        <f t="shared" si="16"/>
        <v>10000000</v>
      </c>
      <c r="L538" s="614">
        <f t="shared" si="17"/>
        <v>10000000</v>
      </c>
    </row>
    <row r="539" spans="1:12" ht="30" customHeight="1">
      <c r="A539" s="241" t="s">
        <v>81</v>
      </c>
      <c r="B539" s="273" t="s">
        <v>685</v>
      </c>
      <c r="C539" s="273" t="s">
        <v>481</v>
      </c>
      <c r="D539" s="257" t="s">
        <v>20</v>
      </c>
      <c r="E539" s="226"/>
      <c r="F539" s="226"/>
      <c r="G539" s="227">
        <f>SUM(G538)</f>
        <v>0</v>
      </c>
      <c r="H539" s="227">
        <f>SUM(H538)</f>
        <v>0</v>
      </c>
      <c r="I539" s="98">
        <f>SUM(I538)</f>
        <v>10000000</v>
      </c>
      <c r="J539" s="326"/>
      <c r="K539" s="614">
        <f t="shared" si="16"/>
        <v>10000000</v>
      </c>
      <c r="L539" s="614">
        <f t="shared" si="17"/>
        <v>10000000</v>
      </c>
    </row>
    <row r="540" spans="1:12" ht="30" customHeight="1">
      <c r="A540" s="241" t="s">
        <v>81</v>
      </c>
      <c r="B540" s="318" t="s">
        <v>72</v>
      </c>
      <c r="C540" s="318"/>
      <c r="D540" s="188"/>
      <c r="E540" s="226"/>
      <c r="F540" s="98">
        <f>F507+F427+F502+F494+F480+F475+F470+F466+F462+F457+F452+F447+F442+F438+F432+F419+F485+F489+F512+F517</f>
        <v>207</v>
      </c>
      <c r="G540" s="98">
        <f>G533+G527+G519+G507+G427+G502+G494+G480+G475+G470+G466+G462+G457+G452+G447+G442+G438+G432+G419+G485+G489+G512+G517+G536+G539</f>
        <v>1283828673</v>
      </c>
      <c r="H540" s="98">
        <f>H533+H527+H519+H507+H427+H502+H494+H480+H475+H470+H466+H462+H457+H452+H447+H442+H438+H432+H419+H485+H489+H512+H517+H536+H539</f>
        <v>1251500158.8799999</v>
      </c>
      <c r="I540" s="98">
        <f>I533+I527+I519+I507+I427+I502+I494+I480+I475+I470+I466+I462+I457+I452+I447+I442+I438+I432+I419+I485+I489+I512+I517+I536+I539</f>
        <v>1293828673</v>
      </c>
      <c r="J540" s="326"/>
      <c r="K540" s="614">
        <f t="shared" si="16"/>
        <v>1293828673</v>
      </c>
      <c r="L540" s="614">
        <f t="shared" si="17"/>
        <v>42328514.120000124</v>
      </c>
    </row>
    <row r="541" spans="1:12" ht="30" customHeight="1">
      <c r="A541" s="241" t="s">
        <v>258</v>
      </c>
      <c r="B541" s="318" t="s">
        <v>624</v>
      </c>
      <c r="C541" s="318"/>
      <c r="D541" s="188"/>
      <c r="E541" s="226"/>
      <c r="F541" s="226"/>
      <c r="G541" s="242"/>
      <c r="H541" s="242"/>
      <c r="I541" s="242"/>
      <c r="J541" s="326"/>
      <c r="K541" s="614">
        <f t="shared" si="16"/>
        <v>0</v>
      </c>
      <c r="L541" s="614">
        <f t="shared" si="17"/>
        <v>0</v>
      </c>
    </row>
    <row r="542" spans="1:12" ht="30" customHeight="1">
      <c r="A542" s="241" t="s">
        <v>258</v>
      </c>
      <c r="B542" s="273" t="s">
        <v>420</v>
      </c>
      <c r="C542" s="273" t="s">
        <v>458</v>
      </c>
      <c r="D542" s="195" t="s">
        <v>625</v>
      </c>
      <c r="E542" s="226"/>
      <c r="F542" s="226"/>
      <c r="G542" s="242"/>
      <c r="H542" s="242"/>
      <c r="I542" s="242"/>
      <c r="J542" s="326"/>
      <c r="K542" s="614">
        <f t="shared" si="16"/>
        <v>0</v>
      </c>
      <c r="L542" s="614">
        <f t="shared" si="17"/>
        <v>0</v>
      </c>
    </row>
    <row r="543" spans="1:12" ht="30" customHeight="1">
      <c r="A543" s="241" t="s">
        <v>258</v>
      </c>
      <c r="B543" s="273" t="s">
        <v>420</v>
      </c>
      <c r="C543" s="273" t="s">
        <v>458</v>
      </c>
      <c r="D543" s="188">
        <v>6611</v>
      </c>
      <c r="E543" s="192" t="s">
        <v>6</v>
      </c>
      <c r="F543" s="226">
        <f>23+4+5</f>
        <v>32</v>
      </c>
      <c r="G543" s="242">
        <v>137578956</v>
      </c>
      <c r="H543" s="242">
        <v>214865994.59999996</v>
      </c>
      <c r="I543" s="242">
        <v>137578956</v>
      </c>
      <c r="J543" s="326"/>
      <c r="K543" s="614">
        <f t="shared" si="16"/>
        <v>137578956</v>
      </c>
      <c r="L543" s="614">
        <f t="shared" si="17"/>
        <v>-77287038.59999996</v>
      </c>
    </row>
    <row r="544" spans="1:12" ht="30" customHeight="1">
      <c r="A544" s="241" t="s">
        <v>258</v>
      </c>
      <c r="B544" s="273" t="s">
        <v>420</v>
      </c>
      <c r="C544" s="273" t="s">
        <v>458</v>
      </c>
      <c r="D544" s="188">
        <v>60100</v>
      </c>
      <c r="E544" s="192" t="s">
        <v>34</v>
      </c>
      <c r="F544" s="226"/>
      <c r="G544" s="242">
        <v>2020000</v>
      </c>
      <c r="H544" s="242">
        <v>1515000</v>
      </c>
      <c r="I544" s="242">
        <v>2020000</v>
      </c>
      <c r="J544" s="326"/>
      <c r="K544" s="614">
        <f t="shared" si="16"/>
        <v>2020000</v>
      </c>
      <c r="L544" s="614">
        <f t="shared" si="17"/>
        <v>505000</v>
      </c>
    </row>
    <row r="545" spans="1:12" ht="30" customHeight="1">
      <c r="A545" s="241" t="s">
        <v>258</v>
      </c>
      <c r="B545" s="273" t="s">
        <v>420</v>
      </c>
      <c r="C545" s="273" t="s">
        <v>458</v>
      </c>
      <c r="D545" s="188">
        <v>6122</v>
      </c>
      <c r="E545" s="235" t="s">
        <v>582</v>
      </c>
      <c r="F545" s="253"/>
      <c r="G545" s="242">
        <v>1818000</v>
      </c>
      <c r="H545" s="242">
        <v>1363500</v>
      </c>
      <c r="I545" s="242">
        <v>1818000</v>
      </c>
      <c r="J545" s="326"/>
      <c r="K545" s="614">
        <f t="shared" si="16"/>
        <v>1818000</v>
      </c>
      <c r="L545" s="614">
        <f t="shared" si="17"/>
        <v>454500</v>
      </c>
    </row>
    <row r="546" spans="1:12" ht="30" customHeight="1">
      <c r="A546" s="241" t="s">
        <v>258</v>
      </c>
      <c r="B546" s="273" t="s">
        <v>420</v>
      </c>
      <c r="C546" s="273" t="s">
        <v>458</v>
      </c>
      <c r="D546" s="188">
        <v>6175</v>
      </c>
      <c r="E546" s="194" t="s">
        <v>13</v>
      </c>
      <c r="F546" s="253"/>
      <c r="G546" s="242">
        <v>3030000</v>
      </c>
      <c r="H546" s="242">
        <v>2272500</v>
      </c>
      <c r="I546" s="242">
        <v>3030000</v>
      </c>
      <c r="J546" s="326"/>
      <c r="K546" s="614">
        <f t="shared" si="16"/>
        <v>3030000</v>
      </c>
      <c r="L546" s="614">
        <f t="shared" si="17"/>
        <v>757500</v>
      </c>
    </row>
    <row r="547" spans="1:12" ht="30" customHeight="1">
      <c r="A547" s="241" t="s">
        <v>258</v>
      </c>
      <c r="B547" s="273" t="s">
        <v>420</v>
      </c>
      <c r="C547" s="273" t="s">
        <v>458</v>
      </c>
      <c r="D547" s="257" t="s">
        <v>20</v>
      </c>
      <c r="E547" s="226"/>
      <c r="F547" s="274">
        <f>SUBTOTAL(109,F543:F546)</f>
        <v>32</v>
      </c>
      <c r="G547" s="274">
        <f>SUBTOTAL(109,G543:G546)</f>
        <v>144446956</v>
      </c>
      <c r="H547" s="274">
        <f>SUBTOTAL(109,H543:H546)</f>
        <v>220016994.59999996</v>
      </c>
      <c r="I547" s="274">
        <f>SUBTOTAL(109,I543:I546)</f>
        <v>144446956</v>
      </c>
      <c r="J547" s="326"/>
      <c r="K547" s="614">
        <f t="shared" si="16"/>
        <v>144446956</v>
      </c>
      <c r="L547" s="614">
        <f t="shared" si="17"/>
        <v>-75570038.59999996</v>
      </c>
    </row>
    <row r="548" spans="1:12" ht="30" customHeight="1">
      <c r="A548" s="241" t="s">
        <v>258</v>
      </c>
      <c r="B548" s="273" t="s">
        <v>421</v>
      </c>
      <c r="C548" s="273" t="s">
        <v>458</v>
      </c>
      <c r="D548" s="271" t="s">
        <v>66</v>
      </c>
      <c r="E548" s="226"/>
      <c r="F548" s="226"/>
      <c r="G548" s="274"/>
      <c r="H548" s="338"/>
      <c r="I548" s="338"/>
      <c r="K548" s="614">
        <f t="shared" si="16"/>
        <v>0</v>
      </c>
      <c r="L548" s="614">
        <f t="shared" si="17"/>
        <v>0</v>
      </c>
    </row>
    <row r="549" spans="1:12" ht="30" customHeight="1">
      <c r="A549" s="241" t="s">
        <v>258</v>
      </c>
      <c r="B549" s="273" t="s">
        <v>421</v>
      </c>
      <c r="C549" s="273" t="s">
        <v>458</v>
      </c>
      <c r="D549" s="188">
        <v>6611</v>
      </c>
      <c r="E549" s="192" t="s">
        <v>6</v>
      </c>
      <c r="F549" s="226">
        <f>17+3</f>
        <v>20</v>
      </c>
      <c r="G549" s="614">
        <v>49914316</v>
      </c>
      <c r="H549" s="614">
        <v>54326968.620000005</v>
      </c>
      <c r="I549" s="614">
        <f>40304200+388536+5321580+3900000</f>
        <v>49914316</v>
      </c>
      <c r="J549" s="326"/>
      <c r="K549" s="614">
        <f t="shared" si="16"/>
        <v>49914316</v>
      </c>
      <c r="L549" s="614">
        <f t="shared" si="17"/>
        <v>-4412652.620000005</v>
      </c>
    </row>
    <row r="550" spans="1:12" ht="30" customHeight="1">
      <c r="A550" s="241" t="s">
        <v>258</v>
      </c>
      <c r="B550" s="273" t="s">
        <v>421</v>
      </c>
      <c r="C550" s="273" t="s">
        <v>458</v>
      </c>
      <c r="D550" s="188">
        <v>60100</v>
      </c>
      <c r="E550" s="192" t="s">
        <v>7</v>
      </c>
      <c r="F550" s="226"/>
      <c r="G550" s="614">
        <v>1000000</v>
      </c>
      <c r="H550" s="614">
        <v>500000</v>
      </c>
      <c r="I550" s="242">
        <f>1000000</f>
        <v>1000000</v>
      </c>
      <c r="J550" s="326"/>
      <c r="K550" s="614">
        <f t="shared" si="16"/>
        <v>1000000</v>
      </c>
      <c r="L550" s="614">
        <f t="shared" si="17"/>
        <v>500000</v>
      </c>
    </row>
    <row r="551" spans="1:12" ht="30" customHeight="1">
      <c r="A551" s="241" t="s">
        <v>258</v>
      </c>
      <c r="B551" s="273" t="s">
        <v>421</v>
      </c>
      <c r="C551" s="273" t="s">
        <v>458</v>
      </c>
      <c r="D551" s="188">
        <v>60101</v>
      </c>
      <c r="E551" s="192" t="s">
        <v>255</v>
      </c>
      <c r="F551" s="226"/>
      <c r="G551" s="614"/>
      <c r="H551" s="614"/>
      <c r="I551" s="338"/>
      <c r="J551" s="326"/>
      <c r="K551" s="614">
        <f t="shared" si="16"/>
        <v>0</v>
      </c>
      <c r="L551" s="614">
        <f t="shared" si="17"/>
        <v>0</v>
      </c>
    </row>
    <row r="552" spans="1:12" ht="30" customHeight="1">
      <c r="A552" s="241" t="s">
        <v>258</v>
      </c>
      <c r="B552" s="273" t="s">
        <v>421</v>
      </c>
      <c r="C552" s="273" t="s">
        <v>458</v>
      </c>
      <c r="D552" s="188">
        <v>6122</v>
      </c>
      <c r="E552" s="235" t="s">
        <v>582</v>
      </c>
      <c r="F552" s="226"/>
      <c r="G552" s="614">
        <v>800000</v>
      </c>
      <c r="H552" s="614">
        <v>400000</v>
      </c>
      <c r="I552" s="614">
        <f>800000</f>
        <v>800000</v>
      </c>
      <c r="J552" s="326"/>
      <c r="K552" s="614">
        <f t="shared" si="16"/>
        <v>800000</v>
      </c>
      <c r="L552" s="614">
        <f t="shared" si="17"/>
        <v>400000</v>
      </c>
    </row>
    <row r="553" spans="1:12" ht="30" customHeight="1">
      <c r="A553" s="241" t="s">
        <v>258</v>
      </c>
      <c r="B553" s="273" t="s">
        <v>421</v>
      </c>
      <c r="C553" s="273" t="s">
        <v>458</v>
      </c>
      <c r="D553" s="188">
        <v>6175</v>
      </c>
      <c r="E553" s="194" t="s">
        <v>13</v>
      </c>
      <c r="F553" s="253"/>
      <c r="G553" s="274"/>
      <c r="H553" s="338"/>
      <c r="I553" s="338"/>
      <c r="J553" s="326"/>
      <c r="K553" s="614">
        <f t="shared" si="16"/>
        <v>0</v>
      </c>
      <c r="L553" s="614">
        <f t="shared" si="17"/>
        <v>0</v>
      </c>
    </row>
    <row r="554" spans="1:12" ht="30" customHeight="1">
      <c r="A554" s="241" t="s">
        <v>258</v>
      </c>
      <c r="B554" s="273" t="s">
        <v>421</v>
      </c>
      <c r="C554" s="273" t="s">
        <v>458</v>
      </c>
      <c r="D554" s="188">
        <v>2731</v>
      </c>
      <c r="E554" s="194" t="s">
        <v>695</v>
      </c>
      <c r="F554" s="253"/>
      <c r="G554" s="274"/>
      <c r="H554" s="614">
        <v>3500000000</v>
      </c>
      <c r="I554" s="614">
        <v>3500000000</v>
      </c>
      <c r="J554" s="326"/>
      <c r="K554" s="614">
        <f t="shared" si="16"/>
        <v>3500000000</v>
      </c>
      <c r="L554" s="614">
        <f t="shared" si="17"/>
        <v>0</v>
      </c>
    </row>
    <row r="555" spans="1:12" ht="30" customHeight="1">
      <c r="A555" s="241" t="s">
        <v>258</v>
      </c>
      <c r="B555" s="273" t="s">
        <v>421</v>
      </c>
      <c r="C555" s="273" t="s">
        <v>458</v>
      </c>
      <c r="D555" s="257" t="s">
        <v>20</v>
      </c>
      <c r="E555" s="226"/>
      <c r="F555" s="242">
        <f>SUBTOTAL(109,F549:F553)</f>
        <v>20</v>
      </c>
      <c r="G555" s="98">
        <f>SUBTOTAL(109,G549:G554)</f>
        <v>51714316</v>
      </c>
      <c r="H555" s="98">
        <f>SUBTOTAL(109,H549:H554)</f>
        <v>3555226968.62</v>
      </c>
      <c r="I555" s="98">
        <f>SUBTOTAL(109,I549:I554)</f>
        <v>3551714316</v>
      </c>
      <c r="J555" s="326"/>
      <c r="K555" s="614">
        <f t="shared" si="16"/>
        <v>3551714316</v>
      </c>
      <c r="L555" s="614">
        <f t="shared" si="17"/>
        <v>-3512652.6199998856</v>
      </c>
    </row>
    <row r="556" spans="1:12" ht="30" customHeight="1">
      <c r="A556" s="241" t="s">
        <v>258</v>
      </c>
      <c r="B556" s="273" t="s">
        <v>422</v>
      </c>
      <c r="C556" s="273" t="s">
        <v>458</v>
      </c>
      <c r="D556" s="271" t="s">
        <v>316</v>
      </c>
      <c r="E556" s="226"/>
      <c r="F556" s="226"/>
      <c r="G556" s="256"/>
      <c r="H556" s="256"/>
      <c r="I556" s="256"/>
      <c r="J556" s="326"/>
      <c r="K556" s="614">
        <f t="shared" si="16"/>
        <v>0</v>
      </c>
      <c r="L556" s="614">
        <f t="shared" si="17"/>
        <v>0</v>
      </c>
    </row>
    <row r="557" spans="1:12" ht="30" customHeight="1">
      <c r="A557" s="241" t="s">
        <v>258</v>
      </c>
      <c r="B557" s="273" t="s">
        <v>422</v>
      </c>
      <c r="C557" s="273" t="s">
        <v>458</v>
      </c>
      <c r="D557" s="188">
        <v>6611</v>
      </c>
      <c r="E557" s="192" t="s">
        <v>6</v>
      </c>
      <c r="F557" s="226"/>
      <c r="G557" s="256"/>
      <c r="H557" s="256"/>
      <c r="I557" s="256"/>
      <c r="J557" s="326"/>
      <c r="K557" s="614">
        <f t="shared" si="16"/>
        <v>0</v>
      </c>
      <c r="L557" s="614">
        <f t="shared" si="17"/>
        <v>0</v>
      </c>
    </row>
    <row r="558" spans="1:12" ht="30" customHeight="1">
      <c r="A558" s="241" t="s">
        <v>258</v>
      </c>
      <c r="B558" s="273" t="s">
        <v>422</v>
      </c>
      <c r="C558" s="273" t="s">
        <v>458</v>
      </c>
      <c r="D558" s="188">
        <v>60100</v>
      </c>
      <c r="E558" s="192" t="s">
        <v>34</v>
      </c>
      <c r="F558" s="226"/>
      <c r="G558" s="256"/>
      <c r="H558" s="256"/>
      <c r="I558" s="256"/>
      <c r="J558" s="326"/>
      <c r="K558" s="614">
        <f t="shared" si="16"/>
        <v>0</v>
      </c>
      <c r="L558" s="614">
        <f t="shared" si="17"/>
        <v>0</v>
      </c>
    </row>
    <row r="559" spans="1:12" ht="30" customHeight="1">
      <c r="A559" s="241" t="s">
        <v>258</v>
      </c>
      <c r="B559" s="273" t="s">
        <v>422</v>
      </c>
      <c r="C559" s="273" t="s">
        <v>458</v>
      </c>
      <c r="D559" s="188">
        <v>6173</v>
      </c>
      <c r="E559" s="192" t="s">
        <v>19</v>
      </c>
      <c r="F559" s="226"/>
      <c r="G559" s="202">
        <v>8000000</v>
      </c>
      <c r="H559" s="256"/>
      <c r="I559" s="202">
        <f>8000000</f>
        <v>8000000</v>
      </c>
      <c r="J559" s="326"/>
      <c r="K559" s="614">
        <f t="shared" si="16"/>
        <v>8000000</v>
      </c>
      <c r="L559" s="614">
        <f t="shared" si="17"/>
        <v>8000000</v>
      </c>
    </row>
    <row r="560" spans="1:12" ht="30" customHeight="1">
      <c r="A560" s="241" t="s">
        <v>258</v>
      </c>
      <c r="B560" s="273" t="s">
        <v>422</v>
      </c>
      <c r="C560" s="273" t="s">
        <v>458</v>
      </c>
      <c r="D560" s="257" t="s">
        <v>20</v>
      </c>
      <c r="E560" s="226"/>
      <c r="F560" s="226"/>
      <c r="G560" s="300">
        <f>SUBTOTAL(109,G557:G559)</f>
        <v>8000000</v>
      </c>
      <c r="H560" s="300">
        <f>SUBTOTAL(109,H557:H559)</f>
        <v>0</v>
      </c>
      <c r="I560" s="300">
        <f>SUBTOTAL(109,I557:I559)</f>
        <v>8000000</v>
      </c>
      <c r="J560" s="326"/>
      <c r="K560" s="614">
        <f t="shared" si="16"/>
        <v>8000000</v>
      </c>
      <c r="L560" s="614">
        <f t="shared" si="17"/>
        <v>8000000</v>
      </c>
    </row>
    <row r="561" spans="1:12" ht="30" customHeight="1">
      <c r="A561" s="241" t="s">
        <v>258</v>
      </c>
      <c r="B561" s="273" t="s">
        <v>423</v>
      </c>
      <c r="C561" s="273" t="s">
        <v>466</v>
      </c>
      <c r="D561" s="195" t="s">
        <v>253</v>
      </c>
      <c r="E561" s="226"/>
      <c r="F561" s="226"/>
      <c r="G561" s="256"/>
      <c r="H561" s="256"/>
      <c r="I561" s="256"/>
      <c r="J561" s="326"/>
      <c r="K561" s="614">
        <f t="shared" si="16"/>
        <v>0</v>
      </c>
      <c r="L561" s="614">
        <f t="shared" si="17"/>
        <v>0</v>
      </c>
    </row>
    <row r="562" spans="1:12" ht="30" customHeight="1">
      <c r="A562" s="241" t="s">
        <v>258</v>
      </c>
      <c r="B562" s="273" t="s">
        <v>423</v>
      </c>
      <c r="C562" s="273" t="s">
        <v>466</v>
      </c>
      <c r="D562" s="188">
        <v>6173</v>
      </c>
      <c r="E562" s="192" t="s">
        <v>224</v>
      </c>
      <c r="F562" s="226"/>
      <c r="G562" s="256">
        <v>40000000</v>
      </c>
      <c r="H562" s="256">
        <v>30000000</v>
      </c>
      <c r="I562" s="256">
        <f>40000000</f>
        <v>40000000</v>
      </c>
      <c r="J562" s="326"/>
      <c r="K562" s="614">
        <f t="shared" si="16"/>
        <v>40000000</v>
      </c>
      <c r="L562" s="614">
        <f t="shared" si="17"/>
        <v>10000000</v>
      </c>
    </row>
    <row r="563" spans="1:12" ht="30" customHeight="1">
      <c r="A563" s="241" t="s">
        <v>258</v>
      </c>
      <c r="B563" s="273" t="s">
        <v>423</v>
      </c>
      <c r="C563" s="273" t="s">
        <v>466</v>
      </c>
      <c r="D563" s="257" t="s">
        <v>20</v>
      </c>
      <c r="E563" s="226"/>
      <c r="F563" s="226"/>
      <c r="G563" s="300">
        <f>SUBTOTAL(109,G562:G562)</f>
        <v>40000000</v>
      </c>
      <c r="H563" s="300">
        <f>SUBTOTAL(109,H562:H562)</f>
        <v>30000000</v>
      </c>
      <c r="I563" s="300">
        <f>SUBTOTAL(109,I562:I562)</f>
        <v>40000000</v>
      </c>
      <c r="J563" s="326"/>
      <c r="K563" s="614">
        <f t="shared" si="16"/>
        <v>40000000</v>
      </c>
      <c r="L563" s="614">
        <f t="shared" si="17"/>
        <v>10000000</v>
      </c>
    </row>
    <row r="564" spans="1:12" ht="30" customHeight="1">
      <c r="A564" s="241" t="s">
        <v>258</v>
      </c>
      <c r="B564" s="273" t="s">
        <v>424</v>
      </c>
      <c r="C564" s="273" t="s">
        <v>458</v>
      </c>
      <c r="D564" s="195" t="s">
        <v>94</v>
      </c>
      <c r="E564" s="226"/>
      <c r="F564" s="226"/>
      <c r="G564" s="256"/>
      <c r="H564" s="256"/>
      <c r="I564" s="256"/>
      <c r="J564" s="326"/>
      <c r="K564" s="614">
        <f t="shared" si="16"/>
        <v>0</v>
      </c>
      <c r="L564" s="614">
        <f t="shared" si="17"/>
        <v>0</v>
      </c>
    </row>
    <row r="565" spans="1:12" ht="30" customHeight="1">
      <c r="A565" s="241" t="s">
        <v>258</v>
      </c>
      <c r="B565" s="273" t="s">
        <v>424</v>
      </c>
      <c r="C565" s="273" t="s">
        <v>458</v>
      </c>
      <c r="D565" s="188">
        <v>6611</v>
      </c>
      <c r="E565" s="192" t="s">
        <v>6</v>
      </c>
      <c r="F565" s="226">
        <f>28+1+10</f>
        <v>39</v>
      </c>
      <c r="G565" s="256">
        <v>91732808</v>
      </c>
      <c r="H565" s="256">
        <v>95070067.68</v>
      </c>
      <c r="I565" s="256">
        <v>91732808</v>
      </c>
      <c r="J565" s="326"/>
      <c r="K565" s="614">
        <f t="shared" si="16"/>
        <v>91732808</v>
      </c>
      <c r="L565" s="614">
        <f t="shared" si="17"/>
        <v>-3337259.680000007</v>
      </c>
    </row>
    <row r="566" spans="1:12" ht="30" customHeight="1">
      <c r="A566" s="241" t="s">
        <v>258</v>
      </c>
      <c r="B566" s="273" t="s">
        <v>424</v>
      </c>
      <c r="C566" s="273" t="s">
        <v>458</v>
      </c>
      <c r="D566" s="188">
        <v>6682</v>
      </c>
      <c r="E566" s="192" t="s">
        <v>262</v>
      </c>
      <c r="F566" s="226"/>
      <c r="G566" s="256"/>
      <c r="H566" s="256"/>
      <c r="I566" s="256"/>
      <c r="J566" s="326"/>
      <c r="K566" s="614">
        <f t="shared" si="16"/>
        <v>0</v>
      </c>
      <c r="L566" s="614">
        <f t="shared" si="17"/>
        <v>0</v>
      </c>
    </row>
    <row r="567" spans="1:12" ht="30" customHeight="1">
      <c r="A567" s="241" t="s">
        <v>258</v>
      </c>
      <c r="B567" s="273" t="s">
        <v>424</v>
      </c>
      <c r="C567" s="273" t="s">
        <v>458</v>
      </c>
      <c r="D567" s="188">
        <v>60100</v>
      </c>
      <c r="E567" s="192" t="s">
        <v>34</v>
      </c>
      <c r="F567" s="226"/>
      <c r="G567" s="202">
        <v>5050000</v>
      </c>
      <c r="H567" s="202">
        <v>5050000</v>
      </c>
      <c r="I567" s="202">
        <v>5050000</v>
      </c>
      <c r="J567" s="326"/>
      <c r="K567" s="614">
        <f t="shared" si="16"/>
        <v>5050000</v>
      </c>
      <c r="L567" s="614">
        <f t="shared" si="17"/>
        <v>0</v>
      </c>
    </row>
    <row r="568" spans="1:12" ht="30" customHeight="1">
      <c r="A568" s="241" t="s">
        <v>258</v>
      </c>
      <c r="B568" s="273" t="s">
        <v>424</v>
      </c>
      <c r="C568" s="273" t="s">
        <v>458</v>
      </c>
      <c r="D568" s="188">
        <v>6018</v>
      </c>
      <c r="E568" s="192" t="s">
        <v>314</v>
      </c>
      <c r="F568" s="226"/>
      <c r="G568" s="202">
        <v>3500000</v>
      </c>
      <c r="H568" s="202">
        <v>875000</v>
      </c>
      <c r="I568" s="202">
        <v>3500000</v>
      </c>
      <c r="J568" s="326"/>
      <c r="K568" s="614">
        <f t="shared" si="16"/>
        <v>3500000</v>
      </c>
      <c r="L568" s="614">
        <f t="shared" si="17"/>
        <v>2625000</v>
      </c>
    </row>
    <row r="569" spans="1:12" ht="30" customHeight="1">
      <c r="A569" s="241" t="s">
        <v>258</v>
      </c>
      <c r="B569" s="273" t="s">
        <v>424</v>
      </c>
      <c r="C569" s="273" t="s">
        <v>458</v>
      </c>
      <c r="D569" s="188">
        <v>6122</v>
      </c>
      <c r="E569" s="235" t="s">
        <v>582</v>
      </c>
      <c r="F569" s="253"/>
      <c r="G569" s="202">
        <v>1010000</v>
      </c>
      <c r="H569" s="202">
        <v>757500</v>
      </c>
      <c r="I569" s="202">
        <v>1010000</v>
      </c>
      <c r="J569" s="326"/>
      <c r="K569" s="614">
        <f t="shared" si="16"/>
        <v>1010000</v>
      </c>
      <c r="L569" s="614">
        <f t="shared" si="17"/>
        <v>252500</v>
      </c>
    </row>
    <row r="570" spans="1:12" ht="30" customHeight="1">
      <c r="A570" s="241" t="s">
        <v>258</v>
      </c>
      <c r="B570" s="273" t="s">
        <v>424</v>
      </c>
      <c r="C570" s="273" t="s">
        <v>458</v>
      </c>
      <c r="D570" s="257" t="s">
        <v>20</v>
      </c>
      <c r="E570" s="226"/>
      <c r="F570" s="300">
        <f>SUBTOTAL(109,F565:F569)</f>
        <v>39</v>
      </c>
      <c r="G570" s="300">
        <f>SUBTOTAL(109,G565:G569)</f>
        <v>101292808</v>
      </c>
      <c r="H570" s="300">
        <f>SUBTOTAL(109,H565:H569)</f>
        <v>101752567.68</v>
      </c>
      <c r="I570" s="300">
        <f>SUBTOTAL(109,I565:I569)</f>
        <v>101292808</v>
      </c>
      <c r="J570" s="326"/>
      <c r="K570" s="614">
        <f t="shared" si="16"/>
        <v>101292808</v>
      </c>
      <c r="L570" s="614">
        <f t="shared" si="17"/>
        <v>-459759.68000000715</v>
      </c>
    </row>
    <row r="571" spans="1:12" ht="30" customHeight="1">
      <c r="A571" s="241" t="s">
        <v>258</v>
      </c>
      <c r="B571" s="273" t="s">
        <v>425</v>
      </c>
      <c r="C571" s="273" t="s">
        <v>458</v>
      </c>
      <c r="D571" s="195" t="s">
        <v>95</v>
      </c>
      <c r="E571" s="226"/>
      <c r="F571" s="226"/>
      <c r="G571" s="300"/>
      <c r="H571" s="300"/>
      <c r="I571" s="300"/>
      <c r="J571" s="326"/>
      <c r="K571" s="614">
        <f t="shared" si="16"/>
        <v>0</v>
      </c>
      <c r="L571" s="614">
        <f t="shared" si="17"/>
        <v>0</v>
      </c>
    </row>
    <row r="572" spans="1:12" ht="30" customHeight="1">
      <c r="A572" s="241" t="s">
        <v>258</v>
      </c>
      <c r="B572" s="273" t="s">
        <v>425</v>
      </c>
      <c r="C572" s="273" t="s">
        <v>458</v>
      </c>
      <c r="D572" s="188">
        <v>6611</v>
      </c>
      <c r="E572" s="192" t="s">
        <v>6</v>
      </c>
      <c r="F572" s="226">
        <f>19+1</f>
        <v>20</v>
      </c>
      <c r="G572" s="256">
        <v>50726004</v>
      </c>
      <c r="H572" s="256">
        <v>43184202.04999999</v>
      </c>
      <c r="I572" s="256">
        <v>50726004</v>
      </c>
      <c r="J572" s="326"/>
      <c r="K572" s="614">
        <f t="shared" si="16"/>
        <v>50726004</v>
      </c>
      <c r="L572" s="614">
        <f t="shared" si="17"/>
        <v>7541801.95000001</v>
      </c>
    </row>
    <row r="573" spans="1:12" ht="30" customHeight="1">
      <c r="A573" s="241" t="s">
        <v>258</v>
      </c>
      <c r="B573" s="273" t="s">
        <v>425</v>
      </c>
      <c r="C573" s="273" t="s">
        <v>458</v>
      </c>
      <c r="D573" s="188">
        <v>60100</v>
      </c>
      <c r="E573" s="192" t="s">
        <v>34</v>
      </c>
      <c r="F573" s="226"/>
      <c r="G573" s="256">
        <v>2000000</v>
      </c>
      <c r="H573" s="256">
        <v>1500000</v>
      </c>
      <c r="I573" s="256">
        <v>2000000</v>
      </c>
      <c r="J573" s="326"/>
      <c r="K573" s="614">
        <f t="shared" si="16"/>
        <v>2000000</v>
      </c>
      <c r="L573" s="614">
        <f t="shared" si="17"/>
        <v>500000</v>
      </c>
    </row>
    <row r="574" spans="1:12" ht="30" customHeight="1">
      <c r="A574" s="241" t="s">
        <v>258</v>
      </c>
      <c r="B574" s="273" t="s">
        <v>425</v>
      </c>
      <c r="C574" s="273" t="s">
        <v>458</v>
      </c>
      <c r="D574" s="188">
        <v>6122</v>
      </c>
      <c r="E574" s="235" t="s">
        <v>582</v>
      </c>
      <c r="F574" s="253"/>
      <c r="G574" s="256">
        <v>1000000</v>
      </c>
      <c r="H574" s="256">
        <v>750000</v>
      </c>
      <c r="I574" s="256">
        <v>1000000</v>
      </c>
      <c r="J574" s="326"/>
      <c r="K574" s="614">
        <f t="shared" si="16"/>
        <v>1000000</v>
      </c>
      <c r="L574" s="614">
        <f t="shared" si="17"/>
        <v>250000</v>
      </c>
    </row>
    <row r="575" spans="1:12" ht="30" customHeight="1">
      <c r="A575" s="241" t="s">
        <v>258</v>
      </c>
      <c r="B575" s="273" t="s">
        <v>425</v>
      </c>
      <c r="C575" s="273" t="s">
        <v>458</v>
      </c>
      <c r="D575" s="188">
        <v>6173</v>
      </c>
      <c r="E575" s="258" t="s">
        <v>19</v>
      </c>
      <c r="F575" s="259"/>
      <c r="G575" s="202"/>
      <c r="H575" s="202"/>
      <c r="I575" s="202"/>
      <c r="J575" s="326"/>
      <c r="K575" s="614">
        <f t="shared" si="16"/>
        <v>0</v>
      </c>
      <c r="L575" s="614">
        <f t="shared" si="17"/>
        <v>0</v>
      </c>
    </row>
    <row r="576" spans="1:12" ht="30" customHeight="1">
      <c r="A576" s="241" t="s">
        <v>258</v>
      </c>
      <c r="B576" s="273" t="s">
        <v>425</v>
      </c>
      <c r="C576" s="273" t="s">
        <v>458</v>
      </c>
      <c r="D576" s="257" t="s">
        <v>20</v>
      </c>
      <c r="E576" s="226"/>
      <c r="F576" s="300">
        <f>SUBTOTAL(109,F572:F575)</f>
        <v>20</v>
      </c>
      <c r="G576" s="300">
        <f>SUBTOTAL(109,G572:G575)</f>
        <v>53726004</v>
      </c>
      <c r="H576" s="300">
        <f>SUBTOTAL(109,H572:H575)</f>
        <v>45434202.04999999</v>
      </c>
      <c r="I576" s="300">
        <f>SUBTOTAL(109,I572:I575)</f>
        <v>53726004</v>
      </c>
      <c r="J576" s="326"/>
      <c r="K576" s="614">
        <f t="shared" si="16"/>
        <v>53726004</v>
      </c>
      <c r="L576" s="614">
        <f t="shared" si="17"/>
        <v>8291801.95000001</v>
      </c>
    </row>
    <row r="577" spans="1:12" ht="30" customHeight="1">
      <c r="A577" s="241" t="s">
        <v>258</v>
      </c>
      <c r="B577" s="273" t="s">
        <v>426</v>
      </c>
      <c r="C577" s="273" t="s">
        <v>458</v>
      </c>
      <c r="D577" s="195" t="s">
        <v>245</v>
      </c>
      <c r="E577" s="226"/>
      <c r="F577" s="226"/>
      <c r="G577" s="256"/>
      <c r="H577" s="256"/>
      <c r="I577" s="256"/>
      <c r="J577" s="326"/>
      <c r="K577" s="614">
        <f t="shared" si="16"/>
        <v>0</v>
      </c>
      <c r="L577" s="614">
        <f t="shared" si="17"/>
        <v>0</v>
      </c>
    </row>
    <row r="578" spans="1:12" ht="30" customHeight="1">
      <c r="A578" s="241" t="s">
        <v>258</v>
      </c>
      <c r="B578" s="273" t="s">
        <v>426</v>
      </c>
      <c r="C578" s="273" t="s">
        <v>458</v>
      </c>
      <c r="D578" s="188">
        <v>6611</v>
      </c>
      <c r="E578" s="192" t="s">
        <v>6</v>
      </c>
      <c r="F578" s="226">
        <v>48</v>
      </c>
      <c r="G578" s="256">
        <v>17661584</v>
      </c>
      <c r="H578" s="256"/>
      <c r="I578" s="256">
        <v>17661584</v>
      </c>
      <c r="J578" s="326"/>
      <c r="K578" s="614">
        <f t="shared" si="16"/>
        <v>17661584</v>
      </c>
      <c r="L578" s="614">
        <f t="shared" si="17"/>
        <v>17661584</v>
      </c>
    </row>
    <row r="579" spans="1:12" ht="30" customHeight="1">
      <c r="A579" s="241" t="s">
        <v>258</v>
      </c>
      <c r="B579" s="273" t="s">
        <v>426</v>
      </c>
      <c r="C579" s="273" t="s">
        <v>458</v>
      </c>
      <c r="D579" s="188">
        <v>60100</v>
      </c>
      <c r="E579" s="192" t="s">
        <v>7</v>
      </c>
      <c r="F579" s="226"/>
      <c r="G579" s="256">
        <v>4000000</v>
      </c>
      <c r="H579" s="256">
        <v>3000000</v>
      </c>
      <c r="I579" s="256">
        <v>4000000</v>
      </c>
      <c r="J579" s="326"/>
      <c r="K579" s="614">
        <f t="shared" si="16"/>
        <v>4000000</v>
      </c>
      <c r="L579" s="614">
        <f t="shared" si="17"/>
        <v>1000000</v>
      </c>
    </row>
    <row r="580" spans="1:12" ht="30" customHeight="1">
      <c r="A580" s="241" t="s">
        <v>258</v>
      </c>
      <c r="B580" s="273" t="s">
        <v>426</v>
      </c>
      <c r="C580" s="273" t="s">
        <v>458</v>
      </c>
      <c r="D580" s="188">
        <v>6122</v>
      </c>
      <c r="E580" s="235" t="s">
        <v>582</v>
      </c>
      <c r="F580" s="226"/>
      <c r="G580" s="256">
        <v>2000000</v>
      </c>
      <c r="H580" s="267">
        <v>1500000</v>
      </c>
      <c r="I580" s="256">
        <v>2000000</v>
      </c>
      <c r="J580" s="326"/>
      <c r="K580" s="614">
        <f t="shared" si="16"/>
        <v>2000000</v>
      </c>
      <c r="L580" s="614">
        <f t="shared" si="17"/>
        <v>500000</v>
      </c>
    </row>
    <row r="581" spans="1:12" ht="30" customHeight="1">
      <c r="A581" s="241" t="s">
        <v>258</v>
      </c>
      <c r="B581" s="273" t="s">
        <v>426</v>
      </c>
      <c r="C581" s="273" t="s">
        <v>458</v>
      </c>
      <c r="D581" s="188">
        <v>6173</v>
      </c>
      <c r="E581" s="258" t="s">
        <v>96</v>
      </c>
      <c r="F581" s="259"/>
      <c r="G581" s="256"/>
      <c r="H581" s="256"/>
      <c r="I581" s="256"/>
      <c r="J581" s="326"/>
      <c r="K581" s="614">
        <f t="shared" si="16"/>
        <v>0</v>
      </c>
      <c r="L581" s="614">
        <f t="shared" si="17"/>
        <v>0</v>
      </c>
    </row>
    <row r="582" spans="1:12" ht="30" customHeight="1">
      <c r="A582" s="241" t="s">
        <v>258</v>
      </c>
      <c r="B582" s="273" t="s">
        <v>426</v>
      </c>
      <c r="C582" s="273" t="s">
        <v>458</v>
      </c>
      <c r="D582" s="257" t="s">
        <v>20</v>
      </c>
      <c r="E582" s="226"/>
      <c r="F582" s="300">
        <f>SUBTOTAL(109,F578:F581)</f>
        <v>48</v>
      </c>
      <c r="G582" s="300">
        <f>SUBTOTAL(109,G578:G581)</f>
        <v>23661584</v>
      </c>
      <c r="H582" s="300">
        <f>SUBTOTAL(109,H578:H581)</f>
        <v>4500000</v>
      </c>
      <c r="I582" s="300">
        <f>SUBTOTAL(109,I578:I581)</f>
        <v>23661584</v>
      </c>
      <c r="J582" s="326"/>
      <c r="K582" s="614">
        <f aca="true" t="shared" si="18" ref="K582:K645">I582+J582</f>
        <v>23661584</v>
      </c>
      <c r="L582" s="614">
        <f t="shared" si="17"/>
        <v>19161584</v>
      </c>
    </row>
    <row r="583" spans="1:12" ht="30" customHeight="1">
      <c r="A583" s="241" t="s">
        <v>258</v>
      </c>
      <c r="B583" s="273" t="s">
        <v>427</v>
      </c>
      <c r="C583" s="273" t="s">
        <v>467</v>
      </c>
      <c r="D583" s="195" t="s">
        <v>315</v>
      </c>
      <c r="E583" s="226"/>
      <c r="F583" s="226"/>
      <c r="G583" s="256"/>
      <c r="H583" s="256"/>
      <c r="I583" s="256"/>
      <c r="J583" s="326"/>
      <c r="K583" s="614">
        <f t="shared" si="18"/>
        <v>0</v>
      </c>
      <c r="L583" s="614">
        <f aca="true" t="shared" si="19" ref="L583:L646">K583-H583</f>
        <v>0</v>
      </c>
    </row>
    <row r="584" spans="1:12" ht="30" customHeight="1">
      <c r="A584" s="241" t="s">
        <v>258</v>
      </c>
      <c r="B584" s="273" t="s">
        <v>427</v>
      </c>
      <c r="C584" s="273" t="s">
        <v>467</v>
      </c>
      <c r="D584" s="188">
        <v>6611</v>
      </c>
      <c r="E584" s="192" t="s">
        <v>6</v>
      </c>
      <c r="F584" s="226">
        <v>18</v>
      </c>
      <c r="G584" s="256">
        <v>51969192</v>
      </c>
      <c r="H584" s="267">
        <v>45020800.84</v>
      </c>
      <c r="I584" s="256">
        <v>51969192</v>
      </c>
      <c r="J584" s="326"/>
      <c r="K584" s="614">
        <f t="shared" si="18"/>
        <v>51969192</v>
      </c>
      <c r="L584" s="614">
        <f t="shared" si="19"/>
        <v>6948391.159999996</v>
      </c>
    </row>
    <row r="585" spans="1:12" ht="30" customHeight="1">
      <c r="A585" s="241" t="s">
        <v>258</v>
      </c>
      <c r="B585" s="273" t="s">
        <v>427</v>
      </c>
      <c r="C585" s="273" t="s">
        <v>467</v>
      </c>
      <c r="D585" s="188">
        <v>60100</v>
      </c>
      <c r="E585" s="192" t="s">
        <v>7</v>
      </c>
      <c r="F585" s="226"/>
      <c r="G585" s="256">
        <v>1000000</v>
      </c>
      <c r="H585" s="256">
        <v>500000</v>
      </c>
      <c r="I585" s="256">
        <v>1000000</v>
      </c>
      <c r="J585" s="326"/>
      <c r="K585" s="614">
        <f t="shared" si="18"/>
        <v>1000000</v>
      </c>
      <c r="L585" s="614">
        <f t="shared" si="19"/>
        <v>500000</v>
      </c>
    </row>
    <row r="586" spans="1:12" ht="30" customHeight="1">
      <c r="A586" s="241" t="s">
        <v>258</v>
      </c>
      <c r="B586" s="273" t="s">
        <v>427</v>
      </c>
      <c r="C586" s="273" t="s">
        <v>467</v>
      </c>
      <c r="D586" s="188">
        <v>6112</v>
      </c>
      <c r="E586" s="226" t="s">
        <v>236</v>
      </c>
      <c r="F586" s="226"/>
      <c r="G586" s="256">
        <v>2000000</v>
      </c>
      <c r="H586" s="267"/>
      <c r="I586" s="256">
        <v>2000000</v>
      </c>
      <c r="J586" s="326"/>
      <c r="K586" s="614">
        <f t="shared" si="18"/>
        <v>2000000</v>
      </c>
      <c r="L586" s="614">
        <f t="shared" si="19"/>
        <v>2000000</v>
      </c>
    </row>
    <row r="587" spans="1:12" ht="30" customHeight="1">
      <c r="A587" s="241" t="s">
        <v>258</v>
      </c>
      <c r="B587" s="273" t="s">
        <v>427</v>
      </c>
      <c r="C587" s="273" t="s">
        <v>467</v>
      </c>
      <c r="D587" s="188">
        <v>6122</v>
      </c>
      <c r="E587" s="235" t="s">
        <v>582</v>
      </c>
      <c r="F587" s="226"/>
      <c r="G587" s="256">
        <v>1000000</v>
      </c>
      <c r="H587" s="267">
        <v>500000</v>
      </c>
      <c r="I587" s="256">
        <v>1000000</v>
      </c>
      <c r="J587" s="326"/>
      <c r="K587" s="614">
        <f t="shared" si="18"/>
        <v>1000000</v>
      </c>
      <c r="L587" s="614">
        <f t="shared" si="19"/>
        <v>500000</v>
      </c>
    </row>
    <row r="588" spans="1:12" ht="30" customHeight="1">
      <c r="A588" s="241" t="s">
        <v>258</v>
      </c>
      <c r="B588" s="273" t="s">
        <v>427</v>
      </c>
      <c r="C588" s="273" t="s">
        <v>467</v>
      </c>
      <c r="D588" s="188">
        <v>6173</v>
      </c>
      <c r="E588" s="258" t="s">
        <v>96</v>
      </c>
      <c r="F588" s="259"/>
      <c r="G588" s="256">
        <v>87500000</v>
      </c>
      <c r="H588" s="256">
        <v>87500000</v>
      </c>
      <c r="I588" s="256">
        <v>87500000</v>
      </c>
      <c r="J588" s="326"/>
      <c r="K588" s="614">
        <f t="shared" si="18"/>
        <v>87500000</v>
      </c>
      <c r="L588" s="614">
        <f t="shared" si="19"/>
        <v>0</v>
      </c>
    </row>
    <row r="589" spans="1:12" ht="30" customHeight="1">
      <c r="A589" s="241" t="s">
        <v>258</v>
      </c>
      <c r="B589" s="273" t="s">
        <v>427</v>
      </c>
      <c r="C589" s="273" t="s">
        <v>467</v>
      </c>
      <c r="D589" s="257" t="s">
        <v>20</v>
      </c>
      <c r="E589" s="226"/>
      <c r="F589" s="226"/>
      <c r="G589" s="300">
        <f>SUBTOTAL(109,G584:G588)</f>
        <v>143469192</v>
      </c>
      <c r="H589" s="300">
        <f>SUBTOTAL(109,H584:H588)</f>
        <v>133520800.84</v>
      </c>
      <c r="I589" s="300">
        <f>SUBTOTAL(109,I584:I588)</f>
        <v>143469192</v>
      </c>
      <c r="J589" s="326"/>
      <c r="K589" s="614">
        <f t="shared" si="18"/>
        <v>143469192</v>
      </c>
      <c r="L589" s="614">
        <f t="shared" si="19"/>
        <v>9948391.159999996</v>
      </c>
    </row>
    <row r="590" spans="1:12" ht="30" customHeight="1">
      <c r="A590" s="241" t="s">
        <v>258</v>
      </c>
      <c r="B590" s="273" t="s">
        <v>432</v>
      </c>
      <c r="C590" s="273" t="s">
        <v>458</v>
      </c>
      <c r="D590" s="195" t="s">
        <v>99</v>
      </c>
      <c r="E590" s="226"/>
      <c r="F590" s="226"/>
      <c r="G590" s="256"/>
      <c r="H590" s="256"/>
      <c r="I590" s="256"/>
      <c r="J590" s="326"/>
      <c r="K590" s="614">
        <f t="shared" si="18"/>
        <v>0</v>
      </c>
      <c r="L590" s="614">
        <f t="shared" si="19"/>
        <v>0</v>
      </c>
    </row>
    <row r="591" spans="1:12" ht="30" customHeight="1">
      <c r="A591" s="241" t="s">
        <v>258</v>
      </c>
      <c r="B591" s="273" t="s">
        <v>432</v>
      </c>
      <c r="C591" s="273" t="s">
        <v>458</v>
      </c>
      <c r="D591" s="188">
        <v>6611</v>
      </c>
      <c r="E591" s="192" t="s">
        <v>6</v>
      </c>
      <c r="F591" s="226"/>
      <c r="G591" s="256">
        <v>20062404</v>
      </c>
      <c r="H591" s="267"/>
      <c r="I591" s="256">
        <v>20062404</v>
      </c>
      <c r="J591" s="326"/>
      <c r="K591" s="614">
        <f t="shared" si="18"/>
        <v>20062404</v>
      </c>
      <c r="L591" s="614">
        <f t="shared" si="19"/>
        <v>20062404</v>
      </c>
    </row>
    <row r="592" spans="1:12" ht="30" customHeight="1">
      <c r="A592" s="241" t="s">
        <v>258</v>
      </c>
      <c r="B592" s="273" t="s">
        <v>432</v>
      </c>
      <c r="C592" s="273" t="s">
        <v>458</v>
      </c>
      <c r="D592" s="188">
        <v>60100</v>
      </c>
      <c r="E592" s="192" t="s">
        <v>34</v>
      </c>
      <c r="F592" s="226"/>
      <c r="G592" s="202">
        <v>600000</v>
      </c>
      <c r="H592" s="256"/>
      <c r="I592" s="202">
        <v>600000</v>
      </c>
      <c r="J592" s="326"/>
      <c r="K592" s="614">
        <f t="shared" si="18"/>
        <v>600000</v>
      </c>
      <c r="L592" s="614">
        <f t="shared" si="19"/>
        <v>600000</v>
      </c>
    </row>
    <row r="593" spans="1:12" ht="30" customHeight="1">
      <c r="A593" s="241" t="s">
        <v>258</v>
      </c>
      <c r="B593" s="273" t="s">
        <v>432</v>
      </c>
      <c r="C593" s="273" t="s">
        <v>458</v>
      </c>
      <c r="D593" s="188">
        <v>6122</v>
      </c>
      <c r="E593" s="235" t="s">
        <v>582</v>
      </c>
      <c r="F593" s="253"/>
      <c r="G593" s="202">
        <v>350000</v>
      </c>
      <c r="H593" s="256"/>
      <c r="I593" s="202">
        <v>350000</v>
      </c>
      <c r="J593" s="326"/>
      <c r="K593" s="614">
        <f t="shared" si="18"/>
        <v>350000</v>
      </c>
      <c r="L593" s="614">
        <f t="shared" si="19"/>
        <v>350000</v>
      </c>
    </row>
    <row r="594" spans="1:12" ht="30" customHeight="1">
      <c r="A594" s="241" t="s">
        <v>258</v>
      </c>
      <c r="B594" s="273" t="s">
        <v>432</v>
      </c>
      <c r="C594" s="273" t="s">
        <v>458</v>
      </c>
      <c r="D594" s="257" t="s">
        <v>20</v>
      </c>
      <c r="E594" s="226"/>
      <c r="F594" s="226"/>
      <c r="G594" s="300">
        <f>SUBTOTAL(109,G591:G593)</f>
        <v>21012404</v>
      </c>
      <c r="H594" s="300">
        <f>SUBTOTAL(109,H592:H593)</f>
        <v>0</v>
      </c>
      <c r="I594" s="300">
        <f>SUBTOTAL(109,I591:I593)</f>
        <v>21012404</v>
      </c>
      <c r="J594" s="326"/>
      <c r="K594" s="614">
        <f t="shared" si="18"/>
        <v>21012404</v>
      </c>
      <c r="L594" s="614">
        <f t="shared" si="19"/>
        <v>21012404</v>
      </c>
    </row>
    <row r="595" spans="1:12" ht="30" customHeight="1">
      <c r="A595" s="241" t="s">
        <v>258</v>
      </c>
      <c r="B595" s="273" t="s">
        <v>433</v>
      </c>
      <c r="C595" s="273" t="s">
        <v>458</v>
      </c>
      <c r="D595" s="195" t="s">
        <v>100</v>
      </c>
      <c r="E595" s="226"/>
      <c r="F595" s="226"/>
      <c r="G595" s="256"/>
      <c r="H595" s="256"/>
      <c r="I595" s="256"/>
      <c r="J595" s="326"/>
      <c r="K595" s="614">
        <f t="shared" si="18"/>
        <v>0</v>
      </c>
      <c r="L595" s="614">
        <f t="shared" si="19"/>
        <v>0</v>
      </c>
    </row>
    <row r="596" spans="1:12" ht="30" customHeight="1">
      <c r="A596" s="241" t="s">
        <v>258</v>
      </c>
      <c r="B596" s="273" t="s">
        <v>433</v>
      </c>
      <c r="C596" s="273" t="s">
        <v>458</v>
      </c>
      <c r="D596" s="188">
        <v>6611</v>
      </c>
      <c r="E596" s="192" t="s">
        <v>6</v>
      </c>
      <c r="F596" s="226"/>
      <c r="G596" s="256">
        <v>127931220</v>
      </c>
      <c r="H596" s="267">
        <v>130032532.71000001</v>
      </c>
      <c r="I596" s="256">
        <v>127931220</v>
      </c>
      <c r="J596" s="326"/>
      <c r="K596" s="614">
        <f t="shared" si="18"/>
        <v>127931220</v>
      </c>
      <c r="L596" s="614">
        <f t="shared" si="19"/>
        <v>-2101312.7100000083</v>
      </c>
    </row>
    <row r="597" spans="1:12" ht="30" customHeight="1">
      <c r="A597" s="241" t="s">
        <v>258</v>
      </c>
      <c r="B597" s="273" t="s">
        <v>433</v>
      </c>
      <c r="C597" s="273" t="s">
        <v>458</v>
      </c>
      <c r="D597" s="188">
        <v>60100</v>
      </c>
      <c r="E597" s="192" t="s">
        <v>34</v>
      </c>
      <c r="F597" s="226"/>
      <c r="G597" s="202">
        <v>4000000</v>
      </c>
      <c r="H597" s="256">
        <v>3592500</v>
      </c>
      <c r="I597" s="202">
        <v>4000000</v>
      </c>
      <c r="J597" s="326"/>
      <c r="K597" s="614">
        <f t="shared" si="18"/>
        <v>4000000</v>
      </c>
      <c r="L597" s="614">
        <f t="shared" si="19"/>
        <v>407500</v>
      </c>
    </row>
    <row r="598" spans="1:12" ht="30" customHeight="1">
      <c r="A598" s="241" t="s">
        <v>258</v>
      </c>
      <c r="B598" s="273" t="s">
        <v>433</v>
      </c>
      <c r="C598" s="273" t="s">
        <v>458</v>
      </c>
      <c r="D598" s="188">
        <v>6122</v>
      </c>
      <c r="E598" s="235" t="s">
        <v>582</v>
      </c>
      <c r="F598" s="253"/>
      <c r="G598" s="202">
        <v>1000000</v>
      </c>
      <c r="H598" s="256">
        <v>750000</v>
      </c>
      <c r="I598" s="202">
        <v>1000000</v>
      </c>
      <c r="J598" s="326"/>
      <c r="K598" s="614">
        <f t="shared" si="18"/>
        <v>1000000</v>
      </c>
      <c r="L598" s="614">
        <f t="shared" si="19"/>
        <v>250000</v>
      </c>
    </row>
    <row r="599" spans="1:12" ht="30" customHeight="1">
      <c r="A599" s="241" t="s">
        <v>258</v>
      </c>
      <c r="B599" s="273" t="s">
        <v>433</v>
      </c>
      <c r="C599" s="273" t="s">
        <v>458</v>
      </c>
      <c r="D599" s="257" t="s">
        <v>20</v>
      </c>
      <c r="E599" s="226"/>
      <c r="F599" s="226"/>
      <c r="G599" s="300">
        <f>SUBTOTAL(109,G596:G598)</f>
        <v>132931220</v>
      </c>
      <c r="H599" s="300">
        <f>SUBTOTAL(109,H596:H598)</f>
        <v>134375032.71</v>
      </c>
      <c r="I599" s="300">
        <f>SUBTOTAL(109,I596:I598)</f>
        <v>132931220</v>
      </c>
      <c r="J599" s="326"/>
      <c r="K599" s="614">
        <f t="shared" si="18"/>
        <v>132931220</v>
      </c>
      <c r="L599" s="614">
        <f t="shared" si="19"/>
        <v>-1443812.7100000083</v>
      </c>
    </row>
    <row r="600" spans="1:12" ht="30" customHeight="1">
      <c r="A600" s="241" t="s">
        <v>258</v>
      </c>
      <c r="B600" s="273" t="s">
        <v>434</v>
      </c>
      <c r="C600" s="273" t="s">
        <v>458</v>
      </c>
      <c r="D600" s="195" t="s">
        <v>101</v>
      </c>
      <c r="E600" s="226"/>
      <c r="F600" s="226"/>
      <c r="G600" s="256"/>
      <c r="H600" s="256"/>
      <c r="I600" s="256"/>
      <c r="J600" s="326"/>
      <c r="K600" s="614">
        <f t="shared" si="18"/>
        <v>0</v>
      </c>
      <c r="L600" s="614">
        <f t="shared" si="19"/>
        <v>0</v>
      </c>
    </row>
    <row r="601" spans="1:12" ht="30" customHeight="1">
      <c r="A601" s="241" t="s">
        <v>258</v>
      </c>
      <c r="B601" s="273" t="s">
        <v>434</v>
      </c>
      <c r="C601" s="273" t="s">
        <v>458</v>
      </c>
      <c r="D601" s="188">
        <v>6611</v>
      </c>
      <c r="E601" s="192" t="s">
        <v>6</v>
      </c>
      <c r="F601" s="226">
        <f>170+13</f>
        <v>183</v>
      </c>
      <c r="G601" s="256">
        <v>417969996</v>
      </c>
      <c r="H601" s="256">
        <v>373614146.96999997</v>
      </c>
      <c r="I601" s="256">
        <v>417969996</v>
      </c>
      <c r="J601" s="326"/>
      <c r="K601" s="614">
        <f t="shared" si="18"/>
        <v>417969996</v>
      </c>
      <c r="L601" s="614">
        <f t="shared" si="19"/>
        <v>44355849.03000003</v>
      </c>
    </row>
    <row r="602" spans="1:12" ht="30" customHeight="1">
      <c r="A602" s="241" t="s">
        <v>258</v>
      </c>
      <c r="B602" s="273" t="s">
        <v>434</v>
      </c>
      <c r="C602" s="273" t="s">
        <v>458</v>
      </c>
      <c r="D602" s="188">
        <v>60100</v>
      </c>
      <c r="E602" s="192" t="s">
        <v>34</v>
      </c>
      <c r="F602" s="226"/>
      <c r="G602" s="202">
        <v>1410000</v>
      </c>
      <c r="H602" s="202">
        <v>1057500</v>
      </c>
      <c r="I602" s="202">
        <v>1410000</v>
      </c>
      <c r="J602" s="326"/>
      <c r="K602" s="614">
        <f t="shared" si="18"/>
        <v>1410000</v>
      </c>
      <c r="L602" s="614">
        <f t="shared" si="19"/>
        <v>352500</v>
      </c>
    </row>
    <row r="603" spans="1:12" ht="30" customHeight="1">
      <c r="A603" s="241" t="s">
        <v>258</v>
      </c>
      <c r="B603" s="273" t="s">
        <v>434</v>
      </c>
      <c r="C603" s="273" t="s">
        <v>458</v>
      </c>
      <c r="D603" s="188">
        <v>6122</v>
      </c>
      <c r="E603" s="235" t="s">
        <v>582</v>
      </c>
      <c r="F603" s="253"/>
      <c r="G603" s="202">
        <v>752000</v>
      </c>
      <c r="H603" s="202">
        <v>563750</v>
      </c>
      <c r="I603" s="202">
        <v>752000</v>
      </c>
      <c r="J603" s="326"/>
      <c r="K603" s="614">
        <f t="shared" si="18"/>
        <v>752000</v>
      </c>
      <c r="L603" s="614">
        <f t="shared" si="19"/>
        <v>188250</v>
      </c>
    </row>
    <row r="604" spans="1:12" ht="30" customHeight="1">
      <c r="A604" s="241" t="s">
        <v>258</v>
      </c>
      <c r="B604" s="273" t="s">
        <v>434</v>
      </c>
      <c r="C604" s="273" t="s">
        <v>458</v>
      </c>
      <c r="D604" s="257" t="s">
        <v>20</v>
      </c>
      <c r="E604" s="226"/>
      <c r="F604" s="300">
        <f>SUBTOTAL(109,F601:F603)</f>
        <v>183</v>
      </c>
      <c r="G604" s="300">
        <f>SUBTOTAL(109,G601:G603)</f>
        <v>420131996</v>
      </c>
      <c r="H604" s="300">
        <f>SUBTOTAL(109,H601:H603)</f>
        <v>375235396.96999997</v>
      </c>
      <c r="I604" s="300">
        <f>SUBTOTAL(109,I601:I603)</f>
        <v>420131996</v>
      </c>
      <c r="J604" s="326"/>
      <c r="K604" s="614">
        <f t="shared" si="18"/>
        <v>420131996</v>
      </c>
      <c r="L604" s="614">
        <f t="shared" si="19"/>
        <v>44896599.03000003</v>
      </c>
    </row>
    <row r="605" spans="1:12" ht="30" customHeight="1">
      <c r="A605" s="241" t="s">
        <v>258</v>
      </c>
      <c r="B605" s="273" t="s">
        <v>435</v>
      </c>
      <c r="C605" s="273" t="s">
        <v>458</v>
      </c>
      <c r="D605" s="195" t="s">
        <v>102</v>
      </c>
      <c r="E605" s="226"/>
      <c r="F605" s="226"/>
      <c r="G605" s="256"/>
      <c r="H605" s="256"/>
      <c r="I605" s="256"/>
      <c r="J605" s="326"/>
      <c r="K605" s="614">
        <f t="shared" si="18"/>
        <v>0</v>
      </c>
      <c r="L605" s="614">
        <f t="shared" si="19"/>
        <v>0</v>
      </c>
    </row>
    <row r="606" spans="1:12" ht="30" customHeight="1">
      <c r="A606" s="241" t="s">
        <v>258</v>
      </c>
      <c r="B606" s="273" t="s">
        <v>435</v>
      </c>
      <c r="C606" s="273" t="s">
        <v>458</v>
      </c>
      <c r="D606" s="188">
        <v>60100</v>
      </c>
      <c r="E606" s="192" t="s">
        <v>34</v>
      </c>
      <c r="F606" s="226"/>
      <c r="G606" s="202">
        <v>564000</v>
      </c>
      <c r="H606" s="202"/>
      <c r="I606" s="202">
        <f>564000</f>
        <v>564000</v>
      </c>
      <c r="J606" s="326"/>
      <c r="K606" s="614">
        <f t="shared" si="18"/>
        <v>564000</v>
      </c>
      <c r="L606" s="614">
        <f t="shared" si="19"/>
        <v>564000</v>
      </c>
    </row>
    <row r="607" spans="1:12" ht="30" customHeight="1">
      <c r="A607" s="241" t="s">
        <v>258</v>
      </c>
      <c r="B607" s="273" t="s">
        <v>435</v>
      </c>
      <c r="C607" s="273" t="s">
        <v>458</v>
      </c>
      <c r="D607" s="188">
        <v>6122</v>
      </c>
      <c r="E607" s="235" t="s">
        <v>582</v>
      </c>
      <c r="F607" s="253"/>
      <c r="G607" s="202">
        <v>376000</v>
      </c>
      <c r="H607" s="202"/>
      <c r="I607" s="202">
        <v>376000</v>
      </c>
      <c r="J607" s="326"/>
      <c r="K607" s="614">
        <f t="shared" si="18"/>
        <v>376000</v>
      </c>
      <c r="L607" s="614">
        <f t="shared" si="19"/>
        <v>376000</v>
      </c>
    </row>
    <row r="608" spans="1:12" ht="30" customHeight="1">
      <c r="A608" s="241" t="s">
        <v>258</v>
      </c>
      <c r="B608" s="273" t="s">
        <v>435</v>
      </c>
      <c r="C608" s="273" t="s">
        <v>458</v>
      </c>
      <c r="D608" s="257" t="s">
        <v>20</v>
      </c>
      <c r="E608" s="226"/>
      <c r="F608" s="226"/>
      <c r="G608" s="300">
        <f>SUBTOTAL(109,G606:G607)</f>
        <v>940000</v>
      </c>
      <c r="H608" s="300">
        <f>SUBTOTAL(109,H606:H607)</f>
        <v>0</v>
      </c>
      <c r="I608" s="300">
        <f>SUBTOTAL(109,I606:I607)</f>
        <v>940000</v>
      </c>
      <c r="J608" s="326"/>
      <c r="K608" s="614">
        <f t="shared" si="18"/>
        <v>940000</v>
      </c>
      <c r="L608" s="614">
        <f t="shared" si="19"/>
        <v>940000</v>
      </c>
    </row>
    <row r="609" spans="1:12" ht="30" customHeight="1">
      <c r="A609" s="241" t="s">
        <v>258</v>
      </c>
      <c r="B609" s="273" t="s">
        <v>436</v>
      </c>
      <c r="C609" s="273" t="s">
        <v>458</v>
      </c>
      <c r="D609" s="195" t="s">
        <v>229</v>
      </c>
      <c r="E609" s="226"/>
      <c r="F609" s="226"/>
      <c r="G609" s="300"/>
      <c r="H609" s="300"/>
      <c r="I609" s="300"/>
      <c r="J609" s="326"/>
      <c r="K609" s="614">
        <f t="shared" si="18"/>
        <v>0</v>
      </c>
      <c r="L609" s="614">
        <f t="shared" si="19"/>
        <v>0</v>
      </c>
    </row>
    <row r="610" spans="1:12" ht="30" customHeight="1">
      <c r="A610" s="241" t="s">
        <v>258</v>
      </c>
      <c r="B610" s="273" t="s">
        <v>436</v>
      </c>
      <c r="C610" s="273" t="s">
        <v>458</v>
      </c>
      <c r="D610" s="188">
        <v>6611</v>
      </c>
      <c r="E610" s="192" t="s">
        <v>6</v>
      </c>
      <c r="F610" s="226">
        <f>5+1</f>
        <v>6</v>
      </c>
      <c r="G610" s="256">
        <v>26887995</v>
      </c>
      <c r="H610" s="300"/>
      <c r="I610" s="256">
        <v>26887995</v>
      </c>
      <c r="J610" s="326"/>
      <c r="K610" s="614">
        <f t="shared" si="18"/>
        <v>26887995</v>
      </c>
      <c r="L610" s="614">
        <f t="shared" si="19"/>
        <v>26887995</v>
      </c>
    </row>
    <row r="611" spans="1:12" ht="30" customHeight="1">
      <c r="A611" s="241" t="s">
        <v>258</v>
      </c>
      <c r="B611" s="273" t="s">
        <v>436</v>
      </c>
      <c r="C611" s="273" t="s">
        <v>458</v>
      </c>
      <c r="D611" s="188">
        <v>60100</v>
      </c>
      <c r="E611" s="192" t="s">
        <v>34</v>
      </c>
      <c r="F611" s="226"/>
      <c r="G611" s="202">
        <v>2000000</v>
      </c>
      <c r="H611" s="202">
        <v>1837300</v>
      </c>
      <c r="I611" s="202">
        <v>2000000</v>
      </c>
      <c r="J611" s="326"/>
      <c r="K611" s="614">
        <f t="shared" si="18"/>
        <v>2000000</v>
      </c>
      <c r="L611" s="614">
        <f t="shared" si="19"/>
        <v>162700</v>
      </c>
    </row>
    <row r="612" spans="1:12" ht="30" customHeight="1">
      <c r="A612" s="241" t="s">
        <v>258</v>
      </c>
      <c r="B612" s="273" t="s">
        <v>436</v>
      </c>
      <c r="C612" s="273" t="s">
        <v>458</v>
      </c>
      <c r="D612" s="188">
        <v>6122</v>
      </c>
      <c r="E612" s="235" t="s">
        <v>582</v>
      </c>
      <c r="F612" s="226"/>
      <c r="G612" s="202">
        <v>1500000</v>
      </c>
      <c r="H612" s="202">
        <v>375000</v>
      </c>
      <c r="I612" s="202">
        <v>1500000</v>
      </c>
      <c r="J612" s="326"/>
      <c r="K612" s="614">
        <f t="shared" si="18"/>
        <v>1500000</v>
      </c>
      <c r="L612" s="614">
        <f t="shared" si="19"/>
        <v>1125000</v>
      </c>
    </row>
    <row r="613" spans="1:12" ht="30" customHeight="1">
      <c r="A613" s="241" t="s">
        <v>258</v>
      </c>
      <c r="B613" s="273" t="s">
        <v>436</v>
      </c>
      <c r="C613" s="273" t="s">
        <v>458</v>
      </c>
      <c r="D613" s="257" t="s">
        <v>20</v>
      </c>
      <c r="E613" s="226"/>
      <c r="F613" s="300">
        <f>SUBTOTAL(109,F610:F612)</f>
        <v>6</v>
      </c>
      <c r="G613" s="300">
        <f>SUBTOTAL(109,G610:G612)</f>
        <v>30387995</v>
      </c>
      <c r="H613" s="300">
        <f>SUBTOTAL(109,H610:H612)</f>
        <v>2212300</v>
      </c>
      <c r="I613" s="300">
        <f>SUBTOTAL(109,I610:I612)</f>
        <v>30387995</v>
      </c>
      <c r="J613" s="326"/>
      <c r="K613" s="614">
        <f t="shared" si="18"/>
        <v>30387995</v>
      </c>
      <c r="L613" s="614">
        <f t="shared" si="19"/>
        <v>28175695</v>
      </c>
    </row>
    <row r="614" spans="1:12" ht="30" customHeight="1">
      <c r="A614" s="241" t="s">
        <v>258</v>
      </c>
      <c r="B614" s="273" t="s">
        <v>437</v>
      </c>
      <c r="C614" s="273" t="s">
        <v>468</v>
      </c>
      <c r="D614" s="195" t="s">
        <v>103</v>
      </c>
      <c r="E614" s="226"/>
      <c r="F614" s="226"/>
      <c r="G614" s="256"/>
      <c r="H614" s="256"/>
      <c r="I614" s="256"/>
      <c r="J614" s="326"/>
      <c r="K614" s="614">
        <f t="shared" si="18"/>
        <v>0</v>
      </c>
      <c r="L614" s="614">
        <f t="shared" si="19"/>
        <v>0</v>
      </c>
    </row>
    <row r="615" spans="1:12" ht="30" customHeight="1">
      <c r="A615" s="241" t="s">
        <v>258</v>
      </c>
      <c r="B615" s="273" t="s">
        <v>437</v>
      </c>
      <c r="C615" s="273" t="s">
        <v>468</v>
      </c>
      <c r="D615" s="188">
        <v>6611</v>
      </c>
      <c r="E615" s="192" t="s">
        <v>6</v>
      </c>
      <c r="F615" s="226"/>
      <c r="G615" s="256"/>
      <c r="H615" s="267"/>
      <c r="I615" s="256"/>
      <c r="J615" s="326"/>
      <c r="K615" s="614">
        <f t="shared" si="18"/>
        <v>0</v>
      </c>
      <c r="L615" s="614">
        <f t="shared" si="19"/>
        <v>0</v>
      </c>
    </row>
    <row r="616" spans="1:12" ht="30" customHeight="1">
      <c r="A616" s="241" t="s">
        <v>258</v>
      </c>
      <c r="B616" s="273" t="s">
        <v>437</v>
      </c>
      <c r="C616" s="273" t="s">
        <v>468</v>
      </c>
      <c r="D616" s="188">
        <v>60100</v>
      </c>
      <c r="E616" s="192" t="s">
        <v>34</v>
      </c>
      <c r="F616" s="226"/>
      <c r="G616" s="202">
        <v>752000</v>
      </c>
      <c r="H616" s="256"/>
      <c r="I616" s="202">
        <v>752000</v>
      </c>
      <c r="J616" s="326"/>
      <c r="K616" s="614">
        <f t="shared" si="18"/>
        <v>752000</v>
      </c>
      <c r="L616" s="614">
        <f t="shared" si="19"/>
        <v>752000</v>
      </c>
    </row>
    <row r="617" spans="1:12" ht="30" customHeight="1">
      <c r="A617" s="241" t="s">
        <v>258</v>
      </c>
      <c r="B617" s="273" t="s">
        <v>437</v>
      </c>
      <c r="C617" s="273" t="s">
        <v>468</v>
      </c>
      <c r="D617" s="188">
        <v>6122</v>
      </c>
      <c r="E617" s="235" t="s">
        <v>582</v>
      </c>
      <c r="F617" s="253"/>
      <c r="G617" s="202">
        <v>470000</v>
      </c>
      <c r="H617" s="256">
        <v>260000</v>
      </c>
      <c r="I617" s="202">
        <v>470000</v>
      </c>
      <c r="J617" s="326"/>
      <c r="K617" s="614">
        <f t="shared" si="18"/>
        <v>470000</v>
      </c>
      <c r="L617" s="614">
        <f t="shared" si="19"/>
        <v>210000</v>
      </c>
    </row>
    <row r="618" spans="1:12" ht="30" customHeight="1">
      <c r="A618" s="241" t="s">
        <v>258</v>
      </c>
      <c r="B618" s="273" t="s">
        <v>437</v>
      </c>
      <c r="C618" s="273" t="s">
        <v>468</v>
      </c>
      <c r="D618" s="257" t="s">
        <v>20</v>
      </c>
      <c r="E618" s="226"/>
      <c r="F618" s="226"/>
      <c r="G618" s="300">
        <f>SUBTOTAL(109,G616:G617)</f>
        <v>1222000</v>
      </c>
      <c r="H618" s="300">
        <f>SUBTOTAL(109,H616:H617)</f>
        <v>260000</v>
      </c>
      <c r="I618" s="300">
        <f>SUBTOTAL(109,I616:I617)</f>
        <v>1222000</v>
      </c>
      <c r="J618" s="326"/>
      <c r="K618" s="614">
        <f t="shared" si="18"/>
        <v>1222000</v>
      </c>
      <c r="L618" s="614">
        <f t="shared" si="19"/>
        <v>962000</v>
      </c>
    </row>
    <row r="619" spans="1:12" ht="30" customHeight="1">
      <c r="A619" s="241" t="s">
        <v>258</v>
      </c>
      <c r="B619" s="273" t="s">
        <v>438</v>
      </c>
      <c r="C619" s="273" t="s">
        <v>467</v>
      </c>
      <c r="D619" s="195" t="s">
        <v>104</v>
      </c>
      <c r="E619" s="226"/>
      <c r="F619" s="226"/>
      <c r="G619" s="256"/>
      <c r="H619" s="256"/>
      <c r="I619" s="256"/>
      <c r="J619" s="326"/>
      <c r="K619" s="614">
        <f t="shared" si="18"/>
        <v>0</v>
      </c>
      <c r="L619" s="614">
        <f t="shared" si="19"/>
        <v>0</v>
      </c>
    </row>
    <row r="620" spans="1:12" ht="30" customHeight="1">
      <c r="A620" s="241" t="s">
        <v>258</v>
      </c>
      <c r="B620" s="273" t="s">
        <v>438</v>
      </c>
      <c r="C620" s="273" t="s">
        <v>467</v>
      </c>
      <c r="D620" s="188">
        <v>6611</v>
      </c>
      <c r="E620" s="226" t="s">
        <v>6</v>
      </c>
      <c r="F620" s="226"/>
      <c r="G620" s="256">
        <v>16014400</v>
      </c>
      <c r="H620" s="267"/>
      <c r="I620" s="256">
        <v>16014400</v>
      </c>
      <c r="J620" s="326"/>
      <c r="K620" s="614">
        <f t="shared" si="18"/>
        <v>16014400</v>
      </c>
      <c r="L620" s="614">
        <f t="shared" si="19"/>
        <v>16014400</v>
      </c>
    </row>
    <row r="621" spans="1:12" ht="30" customHeight="1">
      <c r="A621" s="241" t="s">
        <v>258</v>
      </c>
      <c r="B621" s="273" t="s">
        <v>438</v>
      </c>
      <c r="C621" s="273" t="s">
        <v>467</v>
      </c>
      <c r="D621" s="188">
        <v>6173</v>
      </c>
      <c r="E621" s="192" t="s">
        <v>19</v>
      </c>
      <c r="F621" s="226"/>
      <c r="G621" s="202">
        <v>12000000</v>
      </c>
      <c r="H621" s="256">
        <v>9000000</v>
      </c>
      <c r="I621" s="202">
        <f>12000000</f>
        <v>12000000</v>
      </c>
      <c r="J621" s="326"/>
      <c r="K621" s="614">
        <f t="shared" si="18"/>
        <v>12000000</v>
      </c>
      <c r="L621" s="614">
        <f t="shared" si="19"/>
        <v>3000000</v>
      </c>
    </row>
    <row r="622" spans="1:12" ht="30" customHeight="1">
      <c r="A622" s="241" t="s">
        <v>258</v>
      </c>
      <c r="B622" s="273" t="s">
        <v>438</v>
      </c>
      <c r="C622" s="273" t="s">
        <v>467</v>
      </c>
      <c r="D622" s="257" t="s">
        <v>20</v>
      </c>
      <c r="E622" s="226"/>
      <c r="F622" s="226"/>
      <c r="G622" s="300">
        <f>SUBTOTAL(109,G620:G621)</f>
        <v>28014400</v>
      </c>
      <c r="H622" s="300">
        <f>SUBTOTAL(109,H621:H621)</f>
        <v>9000000</v>
      </c>
      <c r="I622" s="300">
        <f>SUBTOTAL(109,I620:I621)</f>
        <v>28014400</v>
      </c>
      <c r="J622" s="326"/>
      <c r="K622" s="614">
        <f t="shared" si="18"/>
        <v>28014400</v>
      </c>
      <c r="L622" s="614">
        <f t="shared" si="19"/>
        <v>19014400</v>
      </c>
    </row>
    <row r="623" spans="1:12" ht="30" customHeight="1">
      <c r="A623" s="241" t="s">
        <v>258</v>
      </c>
      <c r="B623" s="273" t="s">
        <v>439</v>
      </c>
      <c r="C623" s="273" t="s">
        <v>458</v>
      </c>
      <c r="D623" s="195" t="s">
        <v>105</v>
      </c>
      <c r="E623" s="226"/>
      <c r="F623" s="226"/>
      <c r="G623" s="256"/>
      <c r="H623" s="256"/>
      <c r="I623" s="256"/>
      <c r="J623" s="326"/>
      <c r="K623" s="614">
        <f t="shared" si="18"/>
        <v>0</v>
      </c>
      <c r="L623" s="614">
        <f t="shared" si="19"/>
        <v>0</v>
      </c>
    </row>
    <row r="624" spans="1:12" ht="30" customHeight="1">
      <c r="A624" s="241" t="s">
        <v>258</v>
      </c>
      <c r="B624" s="273" t="s">
        <v>439</v>
      </c>
      <c r="C624" s="273" t="s">
        <v>458</v>
      </c>
      <c r="D624" s="188">
        <v>6611</v>
      </c>
      <c r="E624" s="226" t="s">
        <v>6</v>
      </c>
      <c r="F624" s="226"/>
      <c r="G624" s="256">
        <v>10172800</v>
      </c>
      <c r="H624" s="267"/>
      <c r="I624" s="256">
        <v>10172800</v>
      </c>
      <c r="J624" s="326"/>
      <c r="K624" s="614">
        <f t="shared" si="18"/>
        <v>10172800</v>
      </c>
      <c r="L624" s="614">
        <f t="shared" si="19"/>
        <v>10172800</v>
      </c>
    </row>
    <row r="625" spans="1:12" ht="30" customHeight="1">
      <c r="A625" s="241" t="s">
        <v>258</v>
      </c>
      <c r="B625" s="273" t="s">
        <v>439</v>
      </c>
      <c r="C625" s="273" t="s">
        <v>458</v>
      </c>
      <c r="D625" s="188">
        <v>60100</v>
      </c>
      <c r="E625" s="192" t="s">
        <v>34</v>
      </c>
      <c r="F625" s="226"/>
      <c r="G625" s="202">
        <v>564000</v>
      </c>
      <c r="H625" s="256"/>
      <c r="I625" s="202">
        <v>564000</v>
      </c>
      <c r="J625" s="326"/>
      <c r="K625" s="614">
        <f t="shared" si="18"/>
        <v>564000</v>
      </c>
      <c r="L625" s="614">
        <f t="shared" si="19"/>
        <v>564000</v>
      </c>
    </row>
    <row r="626" spans="1:12" ht="30" customHeight="1">
      <c r="A626" s="241" t="s">
        <v>258</v>
      </c>
      <c r="B626" s="273" t="s">
        <v>439</v>
      </c>
      <c r="C626" s="273" t="s">
        <v>458</v>
      </c>
      <c r="D626" s="188">
        <v>6122</v>
      </c>
      <c r="E626" s="235" t="s">
        <v>582</v>
      </c>
      <c r="F626" s="226"/>
      <c r="G626" s="202">
        <v>376000</v>
      </c>
      <c r="H626" s="256"/>
      <c r="I626" s="202">
        <v>376000</v>
      </c>
      <c r="J626" s="326"/>
      <c r="K626" s="614">
        <f t="shared" si="18"/>
        <v>376000</v>
      </c>
      <c r="L626" s="614">
        <f t="shared" si="19"/>
        <v>376000</v>
      </c>
    </row>
    <row r="627" spans="1:12" ht="30" customHeight="1">
      <c r="A627" s="241" t="s">
        <v>258</v>
      </c>
      <c r="B627" s="273" t="s">
        <v>439</v>
      </c>
      <c r="C627" s="273" t="s">
        <v>458</v>
      </c>
      <c r="D627" s="257" t="s">
        <v>20</v>
      </c>
      <c r="E627" s="226"/>
      <c r="F627" s="226"/>
      <c r="G627" s="300">
        <f>SUBTOTAL(109,G624:G626)</f>
        <v>11112800</v>
      </c>
      <c r="H627" s="300">
        <f>SUBTOTAL(109,H625:H626)</f>
        <v>0</v>
      </c>
      <c r="I627" s="300">
        <f>SUBTOTAL(109,I624:I626)</f>
        <v>11112800</v>
      </c>
      <c r="J627" s="579">
        <f>SUBTOTAL(109,J624:J626)</f>
        <v>0</v>
      </c>
      <c r="K627" s="614">
        <f t="shared" si="18"/>
        <v>11112800</v>
      </c>
      <c r="L627" s="614">
        <f t="shared" si="19"/>
        <v>11112800</v>
      </c>
    </row>
    <row r="628" spans="1:12" ht="30" customHeight="1">
      <c r="A628" s="241" t="s">
        <v>258</v>
      </c>
      <c r="B628" s="273" t="s">
        <v>440</v>
      </c>
      <c r="C628" s="273" t="s">
        <v>480</v>
      </c>
      <c r="D628" s="255" t="s">
        <v>106</v>
      </c>
      <c r="E628" s="227"/>
      <c r="F628" s="227"/>
      <c r="G628" s="256"/>
      <c r="H628" s="256"/>
      <c r="I628" s="256"/>
      <c r="J628" s="326"/>
      <c r="K628" s="614">
        <f t="shared" si="18"/>
        <v>0</v>
      </c>
      <c r="L628" s="614">
        <f t="shared" si="19"/>
        <v>0</v>
      </c>
    </row>
    <row r="629" spans="1:12" ht="30" customHeight="1">
      <c r="A629" s="241" t="s">
        <v>258</v>
      </c>
      <c r="B629" s="273" t="s">
        <v>440</v>
      </c>
      <c r="C629" s="273" t="s">
        <v>480</v>
      </c>
      <c r="D629" s="188">
        <v>6173</v>
      </c>
      <c r="E629" s="226" t="s">
        <v>19</v>
      </c>
      <c r="F629" s="226"/>
      <c r="G629" s="202">
        <v>2000000</v>
      </c>
      <c r="H629" s="256"/>
      <c r="I629" s="202">
        <f>2000000</f>
        <v>2000000</v>
      </c>
      <c r="J629" s="326"/>
      <c r="K629" s="614">
        <f t="shared" si="18"/>
        <v>2000000</v>
      </c>
      <c r="L629" s="614">
        <f t="shared" si="19"/>
        <v>2000000</v>
      </c>
    </row>
    <row r="630" spans="1:12" ht="30" customHeight="1">
      <c r="A630" s="241" t="s">
        <v>258</v>
      </c>
      <c r="B630" s="273" t="s">
        <v>440</v>
      </c>
      <c r="C630" s="273" t="s">
        <v>480</v>
      </c>
      <c r="D630" s="257" t="s">
        <v>20</v>
      </c>
      <c r="E630" s="226"/>
      <c r="F630" s="226"/>
      <c r="G630" s="300">
        <f>SUBTOTAL(109,G629:G629)</f>
        <v>2000000</v>
      </c>
      <c r="H630" s="300">
        <f>SUBTOTAL(109,H629:H629)</f>
        <v>0</v>
      </c>
      <c r="I630" s="300">
        <f>SUBTOTAL(109,I629:I629)</f>
        <v>2000000</v>
      </c>
      <c r="J630" s="579">
        <f>SUBTOTAL(109,J629:J629)</f>
        <v>0</v>
      </c>
      <c r="K630" s="614">
        <f t="shared" si="18"/>
        <v>2000000</v>
      </c>
      <c r="L630" s="614">
        <f t="shared" si="19"/>
        <v>2000000</v>
      </c>
    </row>
    <row r="631" spans="1:12" ht="30" customHeight="1">
      <c r="A631" s="241" t="s">
        <v>258</v>
      </c>
      <c r="B631" s="273" t="s">
        <v>441</v>
      </c>
      <c r="C631" s="273" t="s">
        <v>480</v>
      </c>
      <c r="D631" s="255" t="s">
        <v>107</v>
      </c>
      <c r="E631" s="227"/>
      <c r="F631" s="227"/>
      <c r="G631" s="256"/>
      <c r="H631" s="256"/>
      <c r="I631" s="256"/>
      <c r="J631" s="326"/>
      <c r="K631" s="614">
        <f t="shared" si="18"/>
        <v>0</v>
      </c>
      <c r="L631" s="614">
        <f t="shared" si="19"/>
        <v>0</v>
      </c>
    </row>
    <row r="632" spans="1:12" ht="30" customHeight="1">
      <c r="A632" s="241" t="s">
        <v>258</v>
      </c>
      <c r="B632" s="273" t="s">
        <v>441</v>
      </c>
      <c r="C632" s="273" t="s">
        <v>480</v>
      </c>
      <c r="D632" s="188">
        <v>6611</v>
      </c>
      <c r="E632" s="192" t="s">
        <v>6</v>
      </c>
      <c r="F632" s="226"/>
      <c r="G632" s="256">
        <v>14976800</v>
      </c>
      <c r="H632" s="267"/>
      <c r="I632" s="256">
        <v>14976800</v>
      </c>
      <c r="J632" s="326"/>
      <c r="K632" s="614">
        <f t="shared" si="18"/>
        <v>14976800</v>
      </c>
      <c r="L632" s="614">
        <f t="shared" si="19"/>
        <v>14976800</v>
      </c>
    </row>
    <row r="633" spans="1:12" ht="30" customHeight="1">
      <c r="A633" s="241" t="s">
        <v>258</v>
      </c>
      <c r="B633" s="273" t="s">
        <v>441</v>
      </c>
      <c r="C633" s="273" t="s">
        <v>480</v>
      </c>
      <c r="D633" s="188">
        <v>60100</v>
      </c>
      <c r="E633" s="192" t="s">
        <v>34</v>
      </c>
      <c r="F633" s="226"/>
      <c r="G633" s="202">
        <v>700000</v>
      </c>
      <c r="H633" s="256"/>
      <c r="I633" s="202">
        <v>700000</v>
      </c>
      <c r="J633" s="326"/>
      <c r="K633" s="614">
        <f t="shared" si="18"/>
        <v>700000</v>
      </c>
      <c r="L633" s="614">
        <f t="shared" si="19"/>
        <v>700000</v>
      </c>
    </row>
    <row r="634" spans="1:12" ht="30" customHeight="1">
      <c r="A634" s="241" t="s">
        <v>258</v>
      </c>
      <c r="B634" s="273" t="s">
        <v>441</v>
      </c>
      <c r="C634" s="273" t="s">
        <v>480</v>
      </c>
      <c r="D634" s="188">
        <v>6122</v>
      </c>
      <c r="E634" s="235" t="s">
        <v>582</v>
      </c>
      <c r="F634" s="253"/>
      <c r="G634" s="202">
        <v>600000</v>
      </c>
      <c r="H634" s="256"/>
      <c r="I634" s="202">
        <v>600000</v>
      </c>
      <c r="J634" s="326"/>
      <c r="K634" s="614">
        <f t="shared" si="18"/>
        <v>600000</v>
      </c>
      <c r="L634" s="614">
        <f t="shared" si="19"/>
        <v>600000</v>
      </c>
    </row>
    <row r="635" spans="1:12" ht="30" customHeight="1">
      <c r="A635" s="241" t="s">
        <v>258</v>
      </c>
      <c r="B635" s="273" t="s">
        <v>441</v>
      </c>
      <c r="C635" s="273" t="s">
        <v>480</v>
      </c>
      <c r="D635" s="257" t="s">
        <v>20</v>
      </c>
      <c r="E635" s="226"/>
      <c r="F635" s="226"/>
      <c r="G635" s="300">
        <f>SUBTOTAL(109,G632:G634)</f>
        <v>16276800</v>
      </c>
      <c r="H635" s="300">
        <f>SUBTOTAL(109,H633:H634)</f>
        <v>0</v>
      </c>
      <c r="I635" s="300">
        <f>SUBTOTAL(109,I632:I634)</f>
        <v>16276800</v>
      </c>
      <c r="J635" s="579">
        <f>SUBTOTAL(109,J632:J634)</f>
        <v>0</v>
      </c>
      <c r="K635" s="614">
        <f t="shared" si="18"/>
        <v>16276800</v>
      </c>
      <c r="L635" s="614">
        <f t="shared" si="19"/>
        <v>16276800</v>
      </c>
    </row>
    <row r="636" spans="1:12" ht="30" customHeight="1">
      <c r="A636" s="241" t="s">
        <v>258</v>
      </c>
      <c r="B636" s="273" t="s">
        <v>442</v>
      </c>
      <c r="C636" s="273" t="s">
        <v>458</v>
      </c>
      <c r="D636" s="257" t="s">
        <v>246</v>
      </c>
      <c r="E636" s="226"/>
      <c r="F636" s="226"/>
      <c r="G636" s="256"/>
      <c r="H636" s="256"/>
      <c r="I636" s="256"/>
      <c r="J636" s="326"/>
      <c r="K636" s="614">
        <f t="shared" si="18"/>
        <v>0</v>
      </c>
      <c r="L636" s="614">
        <f t="shared" si="19"/>
        <v>0</v>
      </c>
    </row>
    <row r="637" spans="1:12" ht="30" customHeight="1">
      <c r="A637" s="241" t="s">
        <v>258</v>
      </c>
      <c r="B637" s="273" t="s">
        <v>442</v>
      </c>
      <c r="C637" s="273" t="s">
        <v>458</v>
      </c>
      <c r="D637" s="188">
        <v>6611</v>
      </c>
      <c r="E637" s="192" t="s">
        <v>6</v>
      </c>
      <c r="F637" s="226">
        <f>54+21</f>
        <v>75</v>
      </c>
      <c r="G637" s="256">
        <v>172543200</v>
      </c>
      <c r="H637" s="256">
        <v>140109610.29</v>
      </c>
      <c r="I637" s="256">
        <f>147703200+24840000</f>
        <v>172543200</v>
      </c>
      <c r="J637" s="326"/>
      <c r="K637" s="614">
        <f t="shared" si="18"/>
        <v>172543200</v>
      </c>
      <c r="L637" s="614">
        <f t="shared" si="19"/>
        <v>32433589.71000001</v>
      </c>
    </row>
    <row r="638" spans="1:12" ht="30" customHeight="1">
      <c r="A638" s="241" t="s">
        <v>258</v>
      </c>
      <c r="B638" s="273" t="s">
        <v>442</v>
      </c>
      <c r="C638" s="273" t="s">
        <v>458</v>
      </c>
      <c r="D638" s="188">
        <v>60100</v>
      </c>
      <c r="E638" s="192" t="s">
        <v>34</v>
      </c>
      <c r="F638" s="226"/>
      <c r="G638" s="202"/>
      <c r="H638" s="202"/>
      <c r="I638" s="202"/>
      <c r="J638" s="326"/>
      <c r="K638" s="614">
        <f t="shared" si="18"/>
        <v>0</v>
      </c>
      <c r="L638" s="614">
        <f t="shared" si="19"/>
        <v>0</v>
      </c>
    </row>
    <row r="639" spans="1:12" ht="30" customHeight="1">
      <c r="A639" s="241" t="s">
        <v>258</v>
      </c>
      <c r="B639" s="273" t="s">
        <v>442</v>
      </c>
      <c r="C639" s="273" t="s">
        <v>458</v>
      </c>
      <c r="D639" s="188">
        <v>6122</v>
      </c>
      <c r="E639" s="235" t="s">
        <v>582</v>
      </c>
      <c r="F639" s="253"/>
      <c r="G639" s="202"/>
      <c r="H639" s="202"/>
      <c r="I639" s="202"/>
      <c r="J639" s="326"/>
      <c r="K639" s="614">
        <f t="shared" si="18"/>
        <v>0</v>
      </c>
      <c r="L639" s="614">
        <f t="shared" si="19"/>
        <v>0</v>
      </c>
    </row>
    <row r="640" spans="1:12" ht="30" customHeight="1">
      <c r="A640" s="241" t="s">
        <v>258</v>
      </c>
      <c r="B640" s="273" t="s">
        <v>442</v>
      </c>
      <c r="C640" s="273" t="s">
        <v>458</v>
      </c>
      <c r="D640" s="188">
        <v>6173</v>
      </c>
      <c r="E640" s="192" t="s">
        <v>19</v>
      </c>
      <c r="F640" s="226"/>
      <c r="G640" s="202"/>
      <c r="H640" s="202"/>
      <c r="I640" s="202"/>
      <c r="J640" s="326"/>
      <c r="K640" s="614">
        <f t="shared" si="18"/>
        <v>0</v>
      </c>
      <c r="L640" s="614">
        <f t="shared" si="19"/>
        <v>0</v>
      </c>
    </row>
    <row r="641" spans="1:12" ht="30" customHeight="1">
      <c r="A641" s="241" t="s">
        <v>258</v>
      </c>
      <c r="B641" s="273" t="s">
        <v>442</v>
      </c>
      <c r="C641" s="245"/>
      <c r="D641" s="188">
        <v>6311</v>
      </c>
      <c r="E641" s="192" t="s">
        <v>594</v>
      </c>
      <c r="F641" s="226"/>
      <c r="G641" s="202">
        <v>12100000</v>
      </c>
      <c r="H641" s="338">
        <v>12100000</v>
      </c>
      <c r="I641" s="202">
        <v>12100000</v>
      </c>
      <c r="J641" s="326"/>
      <c r="K641" s="614">
        <f t="shared" si="18"/>
        <v>12100000</v>
      </c>
      <c r="L641" s="614">
        <f t="shared" si="19"/>
        <v>0</v>
      </c>
    </row>
    <row r="642" spans="1:12" ht="30" customHeight="1">
      <c r="A642" s="241" t="s">
        <v>258</v>
      </c>
      <c r="B642" s="273" t="s">
        <v>442</v>
      </c>
      <c r="C642" s="273" t="s">
        <v>458</v>
      </c>
      <c r="D642" s="257" t="s">
        <v>20</v>
      </c>
      <c r="E642" s="226"/>
      <c r="F642" s="300">
        <f>SUBTOTAL(109,F636:F640)</f>
        <v>75</v>
      </c>
      <c r="G642" s="300">
        <f>SUBTOTAL(109,G637:G641)</f>
        <v>184643200</v>
      </c>
      <c r="H642" s="300">
        <f>SUBTOTAL(109,H637:H641)</f>
        <v>152209610.29</v>
      </c>
      <c r="I642" s="300">
        <f>SUBTOTAL(109,I637:I641)</f>
        <v>184643200</v>
      </c>
      <c r="J642" s="579">
        <f>SUBTOTAL(109,J637:J641)</f>
        <v>0</v>
      </c>
      <c r="K642" s="614">
        <f t="shared" si="18"/>
        <v>184643200</v>
      </c>
      <c r="L642" s="614">
        <f t="shared" si="19"/>
        <v>32433589.71000001</v>
      </c>
    </row>
    <row r="643" spans="1:12" ht="30" customHeight="1">
      <c r="A643" s="241" t="s">
        <v>258</v>
      </c>
      <c r="B643" s="273" t="s">
        <v>443</v>
      </c>
      <c r="C643" s="273" t="s">
        <v>468</v>
      </c>
      <c r="D643" s="255" t="s">
        <v>230</v>
      </c>
      <c r="E643" s="226"/>
      <c r="F643" s="300"/>
      <c r="G643" s="256"/>
      <c r="H643" s="256"/>
      <c r="I643" s="256"/>
      <c r="J643" s="326"/>
      <c r="K643" s="614">
        <f t="shared" si="18"/>
        <v>0</v>
      </c>
      <c r="L643" s="614">
        <f t="shared" si="19"/>
        <v>0</v>
      </c>
    </row>
    <row r="644" spans="1:12" ht="30" customHeight="1">
      <c r="A644" s="241" t="s">
        <v>258</v>
      </c>
      <c r="B644" s="273" t="s">
        <v>443</v>
      </c>
      <c r="C644" s="273" t="s">
        <v>468</v>
      </c>
      <c r="D644" s="188">
        <v>6611</v>
      </c>
      <c r="E644" s="226" t="s">
        <v>6</v>
      </c>
      <c r="F644" s="267"/>
      <c r="G644" s="256">
        <v>16128000</v>
      </c>
      <c r="H644" s="267"/>
      <c r="I644" s="256">
        <v>16128000</v>
      </c>
      <c r="J644" s="326"/>
      <c r="K644" s="614">
        <f t="shared" si="18"/>
        <v>16128000</v>
      </c>
      <c r="L644" s="614">
        <f t="shared" si="19"/>
        <v>16128000</v>
      </c>
    </row>
    <row r="645" spans="1:12" ht="30" customHeight="1">
      <c r="A645" s="241" t="s">
        <v>258</v>
      </c>
      <c r="B645" s="273" t="s">
        <v>443</v>
      </c>
      <c r="C645" s="273" t="s">
        <v>468</v>
      </c>
      <c r="D645" s="188">
        <v>6173</v>
      </c>
      <c r="E645" s="192" t="s">
        <v>19</v>
      </c>
      <c r="F645" s="226"/>
      <c r="G645" s="256">
        <v>3000000</v>
      </c>
      <c r="H645" s="256"/>
      <c r="I645" s="256">
        <v>3000000</v>
      </c>
      <c r="J645" s="326"/>
      <c r="K645" s="614">
        <f t="shared" si="18"/>
        <v>3000000</v>
      </c>
      <c r="L645" s="614">
        <f t="shared" si="19"/>
        <v>3000000</v>
      </c>
    </row>
    <row r="646" spans="1:12" ht="30" customHeight="1">
      <c r="A646" s="241" t="s">
        <v>258</v>
      </c>
      <c r="B646" s="273" t="s">
        <v>443</v>
      </c>
      <c r="C646" s="273" t="s">
        <v>468</v>
      </c>
      <c r="D646" s="257" t="s">
        <v>20</v>
      </c>
      <c r="E646" s="226"/>
      <c r="F646" s="226"/>
      <c r="G646" s="300">
        <f>SUBTOTAL(109,G644:G645)</f>
        <v>19128000</v>
      </c>
      <c r="H646" s="300">
        <f>SUBTOTAL(109,H644:H645)</f>
        <v>0</v>
      </c>
      <c r="I646" s="300">
        <f>SUBTOTAL(109,I644:I645)</f>
        <v>19128000</v>
      </c>
      <c r="J646" s="326"/>
      <c r="K646" s="614">
        <f aca="true" t="shared" si="20" ref="K646:K709">I646+J646</f>
        <v>19128000</v>
      </c>
      <c r="L646" s="614">
        <f t="shared" si="19"/>
        <v>19128000</v>
      </c>
    </row>
    <row r="647" spans="1:12" ht="30" customHeight="1">
      <c r="A647" s="241" t="s">
        <v>258</v>
      </c>
      <c r="B647" s="309" t="s">
        <v>72</v>
      </c>
      <c r="C647" s="309"/>
      <c r="D647" s="188"/>
      <c r="E647" s="226"/>
      <c r="F647" s="300">
        <f>F646+F642+F635+F630+F627+F622+F618+F613+F608+F604+F599+F594+F589+F582+F576+F570+F563+F560+F555+F547</f>
        <v>423</v>
      </c>
      <c r="G647" s="300">
        <f>G646+G642+G635+G630+G627+G622+G618+G613+G608+G604+G599+G594+G589+G582+G576+G570+G563+G560+G555+G547</f>
        <v>1434111675</v>
      </c>
      <c r="H647" s="300">
        <f>H646+H642+H635+H630+H627+H622+H618+H613+H608+H604+H599+H594+H589+H582+H576+H570+H563+H560+H555+H547</f>
        <v>4763743873.76</v>
      </c>
      <c r="I647" s="300">
        <f>I646+I642+I635+I630+I627+I622+I618+I613+I608+I604+I599+I594+I589+I582+I576+I570+I563+I560+I555+I547</f>
        <v>4934111675</v>
      </c>
      <c r="J647" s="326"/>
      <c r="K647" s="614">
        <f t="shared" si="20"/>
        <v>4934111675</v>
      </c>
      <c r="L647" s="614">
        <f aca="true" t="shared" si="21" ref="L647:L710">K647-H647</f>
        <v>170367801.23999977</v>
      </c>
    </row>
    <row r="648" spans="1:12" ht="30" customHeight="1">
      <c r="A648" s="266" t="s">
        <v>92</v>
      </c>
      <c r="B648" s="339" t="s">
        <v>531</v>
      </c>
      <c r="C648" s="339"/>
      <c r="D648" s="283"/>
      <c r="E648" s="340"/>
      <c r="F648" s="340"/>
      <c r="G648" s="299"/>
      <c r="H648" s="299"/>
      <c r="I648" s="299"/>
      <c r="J648" s="326"/>
      <c r="K648" s="614">
        <f t="shared" si="20"/>
        <v>0</v>
      </c>
      <c r="L648" s="614">
        <f t="shared" si="21"/>
        <v>0</v>
      </c>
    </row>
    <row r="649" spans="1:12" ht="30" customHeight="1">
      <c r="A649" s="266" t="s">
        <v>92</v>
      </c>
      <c r="B649" s="273" t="s">
        <v>444</v>
      </c>
      <c r="C649" s="273" t="s">
        <v>482</v>
      </c>
      <c r="D649" s="275" t="s">
        <v>109</v>
      </c>
      <c r="E649" s="276"/>
      <c r="F649" s="276"/>
      <c r="G649" s="341"/>
      <c r="H649" s="341"/>
      <c r="I649" s="341"/>
      <c r="J649" s="299"/>
      <c r="K649" s="614">
        <f t="shared" si="20"/>
        <v>0</v>
      </c>
      <c r="L649" s="614">
        <f t="shared" si="21"/>
        <v>0</v>
      </c>
    </row>
    <row r="650" spans="1:12" ht="30" customHeight="1">
      <c r="A650" s="266" t="s">
        <v>92</v>
      </c>
      <c r="B650" s="273" t="s">
        <v>444</v>
      </c>
      <c r="C650" s="273" t="s">
        <v>482</v>
      </c>
      <c r="D650" s="190">
        <v>6611</v>
      </c>
      <c r="E650" s="181" t="s">
        <v>6</v>
      </c>
      <c r="F650" s="276">
        <f>8+1</f>
        <v>9</v>
      </c>
      <c r="G650" s="182">
        <v>17825892</v>
      </c>
      <c r="H650" s="182">
        <v>50938233.139999986</v>
      </c>
      <c r="I650" s="182">
        <f>37049892-19224000</f>
        <v>17825892</v>
      </c>
      <c r="J650" s="326"/>
      <c r="K650" s="614">
        <f t="shared" si="20"/>
        <v>17825892</v>
      </c>
      <c r="L650" s="614">
        <f t="shared" si="21"/>
        <v>-33112341.139999986</v>
      </c>
    </row>
    <row r="651" spans="1:12" ht="30" customHeight="1">
      <c r="A651" s="266" t="s">
        <v>92</v>
      </c>
      <c r="B651" s="273" t="s">
        <v>444</v>
      </c>
      <c r="C651" s="273" t="s">
        <v>482</v>
      </c>
      <c r="D651" s="190">
        <v>60100</v>
      </c>
      <c r="E651" s="181" t="s">
        <v>7</v>
      </c>
      <c r="F651" s="276"/>
      <c r="G651" s="182">
        <v>1290996</v>
      </c>
      <c r="H651" s="267">
        <v>321600</v>
      </c>
      <c r="I651" s="182">
        <f>1290996</f>
        <v>1290996</v>
      </c>
      <c r="J651" s="182"/>
      <c r="K651" s="614">
        <f t="shared" si="20"/>
        <v>1290996</v>
      </c>
      <c r="L651" s="614">
        <f t="shared" si="21"/>
        <v>969396</v>
      </c>
    </row>
    <row r="652" spans="1:12" ht="30" customHeight="1">
      <c r="A652" s="241" t="s">
        <v>92</v>
      </c>
      <c r="B652" s="273" t="s">
        <v>444</v>
      </c>
      <c r="C652" s="273" t="s">
        <v>482</v>
      </c>
      <c r="D652" s="190">
        <v>2162</v>
      </c>
      <c r="E652" s="181" t="s">
        <v>553</v>
      </c>
      <c r="F652" s="226"/>
      <c r="G652" s="182"/>
      <c r="H652" s="267"/>
      <c r="I652" s="182"/>
      <c r="J652" s="182"/>
      <c r="K652" s="614">
        <f t="shared" si="20"/>
        <v>0</v>
      </c>
      <c r="L652" s="614">
        <f t="shared" si="21"/>
        <v>0</v>
      </c>
    </row>
    <row r="653" spans="1:12" ht="30" customHeight="1">
      <c r="A653" s="266" t="s">
        <v>92</v>
      </c>
      <c r="B653" s="273" t="s">
        <v>444</v>
      </c>
      <c r="C653" s="273" t="s">
        <v>482</v>
      </c>
      <c r="D653" s="188">
        <v>6122</v>
      </c>
      <c r="E653" s="235" t="s">
        <v>582</v>
      </c>
      <c r="F653" s="276"/>
      <c r="G653" s="182">
        <v>922140</v>
      </c>
      <c r="H653" s="267">
        <v>223500</v>
      </c>
      <c r="I653" s="182">
        <f>922140</f>
        <v>922140</v>
      </c>
      <c r="J653" s="182"/>
      <c r="K653" s="614">
        <f t="shared" si="20"/>
        <v>922140</v>
      </c>
      <c r="L653" s="614">
        <f t="shared" si="21"/>
        <v>698640</v>
      </c>
    </row>
    <row r="654" spans="1:12" ht="30" customHeight="1">
      <c r="A654" s="266" t="s">
        <v>92</v>
      </c>
      <c r="B654" s="273" t="s">
        <v>444</v>
      </c>
      <c r="C654" s="273" t="s">
        <v>482</v>
      </c>
      <c r="D654" s="224">
        <v>6133</v>
      </c>
      <c r="E654" s="277" t="s">
        <v>110</v>
      </c>
      <c r="F654" s="278"/>
      <c r="G654" s="182">
        <v>438017</v>
      </c>
      <c r="H654" s="267"/>
      <c r="I654" s="182">
        <f>438017</f>
        <v>438017</v>
      </c>
      <c r="J654" s="182"/>
      <c r="K654" s="614">
        <f t="shared" si="20"/>
        <v>438017</v>
      </c>
      <c r="L654" s="614">
        <f t="shared" si="21"/>
        <v>438017</v>
      </c>
    </row>
    <row r="655" spans="1:12" ht="30" customHeight="1">
      <c r="A655" s="266" t="s">
        <v>92</v>
      </c>
      <c r="B655" s="273" t="s">
        <v>444</v>
      </c>
      <c r="C655" s="273" t="s">
        <v>482</v>
      </c>
      <c r="D655" s="224">
        <v>6175</v>
      </c>
      <c r="E655" s="277" t="s">
        <v>13</v>
      </c>
      <c r="F655" s="278"/>
      <c r="G655" s="182">
        <v>922140</v>
      </c>
      <c r="H655" s="267">
        <v>456500</v>
      </c>
      <c r="I655" s="182">
        <f>922140</f>
        <v>922140</v>
      </c>
      <c r="J655" s="182"/>
      <c r="K655" s="614">
        <f t="shared" si="20"/>
        <v>922140</v>
      </c>
      <c r="L655" s="614">
        <f t="shared" si="21"/>
        <v>465640</v>
      </c>
    </row>
    <row r="656" spans="1:12" ht="30" customHeight="1">
      <c r="A656" s="266" t="s">
        <v>92</v>
      </c>
      <c r="B656" s="273" t="s">
        <v>444</v>
      </c>
      <c r="C656" s="273" t="s">
        <v>482</v>
      </c>
      <c r="D656" s="283" t="s">
        <v>20</v>
      </c>
      <c r="E656" s="276"/>
      <c r="F656" s="299">
        <f>SUBTOTAL(109,F650:F655)</f>
        <v>9</v>
      </c>
      <c r="G656" s="299">
        <f>SUBTOTAL(109,G650:G655)</f>
        <v>21399185</v>
      </c>
      <c r="H656" s="299">
        <f>SUBTOTAL(109,H650:H655)</f>
        <v>51939833.139999986</v>
      </c>
      <c r="I656" s="299">
        <f>SUBTOTAL(109,I650:I655)</f>
        <v>21399185</v>
      </c>
      <c r="J656" s="299"/>
      <c r="K656" s="614">
        <f t="shared" si="20"/>
        <v>21399185</v>
      </c>
      <c r="L656" s="614">
        <f t="shared" si="21"/>
        <v>-30540648.139999986</v>
      </c>
    </row>
    <row r="657" spans="1:12" ht="30" customHeight="1">
      <c r="A657" s="266" t="s">
        <v>92</v>
      </c>
      <c r="B657" s="273" t="s">
        <v>445</v>
      </c>
      <c r="C657" s="273" t="s">
        <v>482</v>
      </c>
      <c r="D657" s="254" t="s">
        <v>66</v>
      </c>
      <c r="E657" s="226"/>
      <c r="F657" s="226"/>
      <c r="G657" s="299"/>
      <c r="H657" s="267"/>
      <c r="I657" s="267"/>
      <c r="J657" s="326"/>
      <c r="K657" s="614">
        <f t="shared" si="20"/>
        <v>0</v>
      </c>
      <c r="L657" s="614">
        <f t="shared" si="21"/>
        <v>0</v>
      </c>
    </row>
    <row r="658" spans="1:12" ht="30" customHeight="1">
      <c r="A658" s="266" t="s">
        <v>92</v>
      </c>
      <c r="B658" s="273" t="s">
        <v>445</v>
      </c>
      <c r="C658" s="273" t="s">
        <v>482</v>
      </c>
      <c r="D658" s="224">
        <v>6611</v>
      </c>
      <c r="E658" s="235" t="s">
        <v>6</v>
      </c>
      <c r="F658" s="276">
        <f>7+1</f>
        <v>8</v>
      </c>
      <c r="G658" s="182">
        <v>16904800</v>
      </c>
      <c r="H658" s="182">
        <v>9903000</v>
      </c>
      <c r="I658" s="182">
        <f>11437600+1507200+3960000</f>
        <v>16904800</v>
      </c>
      <c r="J658" s="326"/>
      <c r="K658" s="614">
        <f t="shared" si="20"/>
        <v>16904800</v>
      </c>
      <c r="L658" s="614">
        <f t="shared" si="21"/>
        <v>7001800</v>
      </c>
    </row>
    <row r="659" spans="1:12" ht="30" customHeight="1">
      <c r="A659" s="266" t="s">
        <v>92</v>
      </c>
      <c r="B659" s="273" t="s">
        <v>445</v>
      </c>
      <c r="C659" s="273" t="s">
        <v>482</v>
      </c>
      <c r="D659" s="224">
        <v>60100</v>
      </c>
      <c r="E659" s="235" t="s">
        <v>7</v>
      </c>
      <c r="F659" s="276"/>
      <c r="G659" s="182">
        <v>500000</v>
      </c>
      <c r="H659" s="182">
        <v>123000</v>
      </c>
      <c r="I659" s="182">
        <v>500000</v>
      </c>
      <c r="J659" s="326"/>
      <c r="K659" s="614">
        <f t="shared" si="20"/>
        <v>500000</v>
      </c>
      <c r="L659" s="614">
        <f t="shared" si="21"/>
        <v>377000</v>
      </c>
    </row>
    <row r="660" spans="1:12" ht="30" customHeight="1">
      <c r="A660" s="266" t="s">
        <v>92</v>
      </c>
      <c r="B660" s="273" t="s">
        <v>445</v>
      </c>
      <c r="C660" s="273" t="s">
        <v>482</v>
      </c>
      <c r="D660" s="224">
        <v>60101</v>
      </c>
      <c r="E660" s="235" t="s">
        <v>255</v>
      </c>
      <c r="F660" s="276"/>
      <c r="G660" s="182"/>
      <c r="H660" s="182"/>
      <c r="I660" s="182"/>
      <c r="J660" s="326"/>
      <c r="K660" s="614">
        <f t="shared" si="20"/>
        <v>0</v>
      </c>
      <c r="L660" s="614">
        <f t="shared" si="21"/>
        <v>0</v>
      </c>
    </row>
    <row r="661" spans="1:12" ht="30" customHeight="1">
      <c r="A661" s="266" t="s">
        <v>92</v>
      </c>
      <c r="B661" s="273" t="s">
        <v>445</v>
      </c>
      <c r="C661" s="273" t="s">
        <v>482</v>
      </c>
      <c r="D661" s="224">
        <v>6122</v>
      </c>
      <c r="E661" s="235" t="s">
        <v>582</v>
      </c>
      <c r="F661" s="276"/>
      <c r="G661" s="182">
        <v>400000</v>
      </c>
      <c r="H661" s="182">
        <v>91500</v>
      </c>
      <c r="I661" s="182">
        <v>400000</v>
      </c>
      <c r="J661" s="326"/>
      <c r="K661" s="614">
        <f t="shared" si="20"/>
        <v>400000</v>
      </c>
      <c r="L661" s="614">
        <f t="shared" si="21"/>
        <v>308500</v>
      </c>
    </row>
    <row r="662" spans="1:12" ht="30" customHeight="1">
      <c r="A662" s="266" t="s">
        <v>92</v>
      </c>
      <c r="B662" s="273" t="s">
        <v>445</v>
      </c>
      <c r="C662" s="273" t="s">
        <v>482</v>
      </c>
      <c r="D662" s="224">
        <v>6175</v>
      </c>
      <c r="E662" s="235" t="s">
        <v>13</v>
      </c>
      <c r="F662" s="276"/>
      <c r="G662" s="182"/>
      <c r="H662" s="188"/>
      <c r="I662" s="235"/>
      <c r="J662" s="326"/>
      <c r="K662" s="614">
        <f t="shared" si="20"/>
        <v>0</v>
      </c>
      <c r="L662" s="614">
        <f t="shared" si="21"/>
        <v>0</v>
      </c>
    </row>
    <row r="663" spans="1:12" ht="30" customHeight="1">
      <c r="A663" s="266" t="s">
        <v>92</v>
      </c>
      <c r="B663" s="273" t="s">
        <v>445</v>
      </c>
      <c r="C663" s="273" t="s">
        <v>482</v>
      </c>
      <c r="D663" s="257" t="s">
        <v>20</v>
      </c>
      <c r="E663" s="226"/>
      <c r="F663" s="299">
        <f>SUM(F658:F662)</f>
        <v>8</v>
      </c>
      <c r="G663" s="299">
        <f>SUM(G658:G662)</f>
        <v>17804800</v>
      </c>
      <c r="H663" s="299">
        <f>SUM(H658:H662)</f>
        <v>10117500</v>
      </c>
      <c r="I663" s="299">
        <f>SUM(I658:I662)</f>
        <v>17804800</v>
      </c>
      <c r="J663" s="326"/>
      <c r="K663" s="614">
        <f t="shared" si="20"/>
        <v>17804800</v>
      </c>
      <c r="L663" s="614">
        <f t="shared" si="21"/>
        <v>7687300</v>
      </c>
    </row>
    <row r="664" spans="1:12" ht="30" customHeight="1">
      <c r="A664" s="266" t="s">
        <v>92</v>
      </c>
      <c r="B664" s="273" t="s">
        <v>446</v>
      </c>
      <c r="C664" s="273" t="s">
        <v>483</v>
      </c>
      <c r="D664" s="342" t="s">
        <v>532</v>
      </c>
      <c r="E664" s="279"/>
      <c r="F664" s="279"/>
      <c r="G664" s="280"/>
      <c r="H664" s="280"/>
      <c r="I664" s="280"/>
      <c r="J664" s="299"/>
      <c r="K664" s="614">
        <f t="shared" si="20"/>
        <v>0</v>
      </c>
      <c r="L664" s="614">
        <f t="shared" si="21"/>
        <v>0</v>
      </c>
    </row>
    <row r="665" spans="1:12" ht="30" customHeight="1">
      <c r="A665" s="241" t="s">
        <v>92</v>
      </c>
      <c r="B665" s="273" t="s">
        <v>446</v>
      </c>
      <c r="C665" s="273" t="s">
        <v>483</v>
      </c>
      <c r="D665" s="188">
        <v>6611</v>
      </c>
      <c r="E665" s="181" t="s">
        <v>6</v>
      </c>
      <c r="F665" s="226"/>
      <c r="G665" s="182">
        <v>10955600</v>
      </c>
      <c r="H665" s="182">
        <v>9967500.030000001</v>
      </c>
      <c r="I665" s="182">
        <v>10955600</v>
      </c>
      <c r="J665" s="326"/>
      <c r="K665" s="614">
        <f t="shared" si="20"/>
        <v>10955600</v>
      </c>
      <c r="L665" s="614">
        <f t="shared" si="21"/>
        <v>988099.9699999988</v>
      </c>
    </row>
    <row r="666" spans="1:12" ht="30" customHeight="1">
      <c r="A666" s="266" t="s">
        <v>92</v>
      </c>
      <c r="B666" s="273" t="s">
        <v>446</v>
      </c>
      <c r="C666" s="273" t="s">
        <v>483</v>
      </c>
      <c r="D666" s="190">
        <v>60100</v>
      </c>
      <c r="E666" s="181" t="s">
        <v>34</v>
      </c>
      <c r="F666" s="276"/>
      <c r="G666" s="182">
        <v>846000</v>
      </c>
      <c r="H666" s="182">
        <v>211100</v>
      </c>
      <c r="I666" s="182">
        <v>846000</v>
      </c>
      <c r="J666" s="326"/>
      <c r="K666" s="614">
        <f t="shared" si="20"/>
        <v>846000</v>
      </c>
      <c r="L666" s="614">
        <f t="shared" si="21"/>
        <v>634900</v>
      </c>
    </row>
    <row r="667" spans="1:12" ht="30" customHeight="1">
      <c r="A667" s="266" t="s">
        <v>92</v>
      </c>
      <c r="B667" s="273" t="s">
        <v>446</v>
      </c>
      <c r="C667" s="273" t="s">
        <v>483</v>
      </c>
      <c r="D667" s="190">
        <v>2162</v>
      </c>
      <c r="E667" s="181" t="s">
        <v>553</v>
      </c>
      <c r="F667" s="226"/>
      <c r="G667" s="182"/>
      <c r="H667" s="338"/>
      <c r="I667" s="182"/>
      <c r="J667" s="326"/>
      <c r="K667" s="614">
        <f t="shared" si="20"/>
        <v>0</v>
      </c>
      <c r="L667" s="614">
        <f t="shared" si="21"/>
        <v>0</v>
      </c>
    </row>
    <row r="668" spans="1:12" ht="30" customHeight="1">
      <c r="A668" s="266" t="s">
        <v>92</v>
      </c>
      <c r="B668" s="273" t="s">
        <v>446</v>
      </c>
      <c r="C668" s="273" t="s">
        <v>483</v>
      </c>
      <c r="D668" s="188">
        <v>6122</v>
      </c>
      <c r="E668" s="235" t="s">
        <v>582</v>
      </c>
      <c r="F668" s="278"/>
      <c r="G668" s="182">
        <v>564000</v>
      </c>
      <c r="H668" s="182">
        <v>134500</v>
      </c>
      <c r="I668" s="182">
        <v>564000</v>
      </c>
      <c r="J668" s="326"/>
      <c r="K668" s="614">
        <f t="shared" si="20"/>
        <v>564000</v>
      </c>
      <c r="L668" s="614">
        <f t="shared" si="21"/>
        <v>429500</v>
      </c>
    </row>
    <row r="669" spans="1:12" ht="30" customHeight="1">
      <c r="A669" s="266" t="s">
        <v>92</v>
      </c>
      <c r="B669" s="273" t="s">
        <v>446</v>
      </c>
      <c r="C669" s="273" t="s">
        <v>483</v>
      </c>
      <c r="D669" s="190">
        <v>6133</v>
      </c>
      <c r="E669" s="181" t="s">
        <v>110</v>
      </c>
      <c r="F669" s="253"/>
      <c r="G669" s="182"/>
      <c r="H669" s="338"/>
      <c r="I669" s="182"/>
      <c r="J669" s="299"/>
      <c r="K669" s="614">
        <f t="shared" si="20"/>
        <v>0</v>
      </c>
      <c r="L669" s="614">
        <f t="shared" si="21"/>
        <v>0</v>
      </c>
    </row>
    <row r="670" spans="1:12" ht="30" customHeight="1">
      <c r="A670" s="266" t="s">
        <v>92</v>
      </c>
      <c r="B670" s="273" t="s">
        <v>446</v>
      </c>
      <c r="C670" s="273" t="s">
        <v>483</v>
      </c>
      <c r="D670" s="190">
        <v>6175</v>
      </c>
      <c r="E670" s="181" t="s">
        <v>13</v>
      </c>
      <c r="F670" s="278"/>
      <c r="G670" s="182">
        <v>500000</v>
      </c>
      <c r="H670" s="182">
        <v>249500</v>
      </c>
      <c r="I670" s="182">
        <v>500000</v>
      </c>
      <c r="J670" s="326"/>
      <c r="K670" s="614">
        <f t="shared" si="20"/>
        <v>500000</v>
      </c>
      <c r="L670" s="614">
        <f t="shared" si="21"/>
        <v>250500</v>
      </c>
    </row>
    <row r="671" spans="1:12" ht="30" customHeight="1">
      <c r="A671" s="266" t="s">
        <v>92</v>
      </c>
      <c r="B671" s="273" t="s">
        <v>446</v>
      </c>
      <c r="C671" s="273" t="s">
        <v>483</v>
      </c>
      <c r="D671" s="283" t="s">
        <v>20</v>
      </c>
      <c r="E671" s="276"/>
      <c r="F671" s="276"/>
      <c r="G671" s="299">
        <f>SUBTOTAL(109,G665:G670)</f>
        <v>12865600</v>
      </c>
      <c r="H671" s="299">
        <f>SUBTOTAL(109,H665:H670)</f>
        <v>10562600.030000001</v>
      </c>
      <c r="I671" s="299">
        <f>SUBTOTAL(109,I665:I670)</f>
        <v>12865600</v>
      </c>
      <c r="J671" s="326"/>
      <c r="K671" s="614">
        <f t="shared" si="20"/>
        <v>12865600</v>
      </c>
      <c r="L671" s="614">
        <f t="shared" si="21"/>
        <v>2302999.969999999</v>
      </c>
    </row>
    <row r="672" spans="1:12" ht="30" customHeight="1">
      <c r="A672" s="266" t="s">
        <v>92</v>
      </c>
      <c r="B672" s="273" t="s">
        <v>447</v>
      </c>
      <c r="C672" s="273" t="s">
        <v>484</v>
      </c>
      <c r="D672" s="281" t="s">
        <v>626</v>
      </c>
      <c r="E672" s="279"/>
      <c r="F672" s="279"/>
      <c r="G672" s="182"/>
      <c r="H672" s="182"/>
      <c r="I672" s="182"/>
      <c r="J672" s="326"/>
      <c r="K672" s="614">
        <f t="shared" si="20"/>
        <v>0</v>
      </c>
      <c r="L672" s="614">
        <f t="shared" si="21"/>
        <v>0</v>
      </c>
    </row>
    <row r="673" spans="1:12" ht="30" customHeight="1">
      <c r="A673" s="266" t="s">
        <v>92</v>
      </c>
      <c r="B673" s="273" t="s">
        <v>447</v>
      </c>
      <c r="C673" s="273" t="s">
        <v>484</v>
      </c>
      <c r="D673" s="190">
        <v>6611</v>
      </c>
      <c r="E673" s="181" t="s">
        <v>6</v>
      </c>
      <c r="F673" s="279">
        <v>4</v>
      </c>
      <c r="G673" s="182">
        <v>10752000</v>
      </c>
      <c r="H673" s="182">
        <v>12554733.480000002</v>
      </c>
      <c r="I673" s="182">
        <v>10752000</v>
      </c>
      <c r="J673" s="326"/>
      <c r="K673" s="614">
        <f t="shared" si="20"/>
        <v>10752000</v>
      </c>
      <c r="L673" s="614">
        <f t="shared" si="21"/>
        <v>-1802733.4800000023</v>
      </c>
    </row>
    <row r="674" spans="1:12" ht="30" customHeight="1">
      <c r="A674" s="266" t="s">
        <v>92</v>
      </c>
      <c r="B674" s="273" t="s">
        <v>447</v>
      </c>
      <c r="C674" s="273" t="s">
        <v>484</v>
      </c>
      <c r="D674" s="190">
        <v>60100</v>
      </c>
      <c r="E674" s="181" t="s">
        <v>7</v>
      </c>
      <c r="F674" s="276"/>
      <c r="G674" s="182">
        <v>846000</v>
      </c>
      <c r="H674" s="182">
        <v>210500</v>
      </c>
      <c r="I674" s="182">
        <v>846000</v>
      </c>
      <c r="J674" s="299"/>
      <c r="K674" s="614">
        <f t="shared" si="20"/>
        <v>846000</v>
      </c>
      <c r="L674" s="614">
        <f t="shared" si="21"/>
        <v>635500</v>
      </c>
    </row>
    <row r="675" spans="1:12" ht="30" customHeight="1">
      <c r="A675" s="266" t="s">
        <v>92</v>
      </c>
      <c r="B675" s="273" t="s">
        <v>447</v>
      </c>
      <c r="C675" s="273" t="s">
        <v>484</v>
      </c>
      <c r="D675" s="188">
        <v>6122</v>
      </c>
      <c r="E675" s="235" t="s">
        <v>582</v>
      </c>
      <c r="F675" s="276"/>
      <c r="G675" s="182">
        <v>752000</v>
      </c>
      <c r="H675" s="182">
        <v>185000</v>
      </c>
      <c r="I675" s="182">
        <v>752000</v>
      </c>
      <c r="J675" s="326"/>
      <c r="K675" s="614">
        <f t="shared" si="20"/>
        <v>752000</v>
      </c>
      <c r="L675" s="614">
        <f t="shared" si="21"/>
        <v>567000</v>
      </c>
    </row>
    <row r="676" spans="1:12" ht="30" customHeight="1">
      <c r="A676" s="266" t="s">
        <v>92</v>
      </c>
      <c r="B676" s="273" t="s">
        <v>447</v>
      </c>
      <c r="C676" s="273" t="s">
        <v>484</v>
      </c>
      <c r="D676" s="283" t="s">
        <v>20</v>
      </c>
      <c r="E676" s="276"/>
      <c r="F676" s="299">
        <f>SUBTOTAL(109,F673:F675)</f>
        <v>4</v>
      </c>
      <c r="G676" s="299">
        <f>SUBTOTAL(109,G673:G675)</f>
        <v>12350000</v>
      </c>
      <c r="H676" s="299">
        <f>SUBTOTAL(109,H673:H675)</f>
        <v>12950233.480000002</v>
      </c>
      <c r="I676" s="299">
        <f>SUBTOTAL(109,I673:I675)</f>
        <v>12350000</v>
      </c>
      <c r="J676" s="326"/>
      <c r="K676" s="614">
        <f t="shared" si="20"/>
        <v>12350000</v>
      </c>
      <c r="L676" s="614">
        <f t="shared" si="21"/>
        <v>-600233.4800000023</v>
      </c>
    </row>
    <row r="677" spans="1:12" ht="30" customHeight="1">
      <c r="A677" s="266" t="s">
        <v>92</v>
      </c>
      <c r="B677" s="273" t="s">
        <v>448</v>
      </c>
      <c r="C677" s="273" t="s">
        <v>482</v>
      </c>
      <c r="D677" s="282" t="s">
        <v>112</v>
      </c>
      <c r="E677" s="279"/>
      <c r="F677" s="279"/>
      <c r="G677" s="182"/>
      <c r="H677" s="182"/>
      <c r="I677" s="182"/>
      <c r="J677" s="326"/>
      <c r="K677" s="614">
        <f t="shared" si="20"/>
        <v>0</v>
      </c>
      <c r="L677" s="614">
        <f t="shared" si="21"/>
        <v>0</v>
      </c>
    </row>
    <row r="678" spans="1:12" ht="30" customHeight="1">
      <c r="A678" s="266" t="s">
        <v>92</v>
      </c>
      <c r="B678" s="273" t="s">
        <v>448</v>
      </c>
      <c r="C678" s="273" t="s">
        <v>482</v>
      </c>
      <c r="D678" s="190">
        <v>6611</v>
      </c>
      <c r="E678" s="181" t="s">
        <v>6</v>
      </c>
      <c r="F678" s="279">
        <v>7</v>
      </c>
      <c r="G678" s="182">
        <v>24717600</v>
      </c>
      <c r="H678" s="182">
        <v>12254334.23</v>
      </c>
      <c r="I678" s="182">
        <v>24717600</v>
      </c>
      <c r="J678" s="326"/>
      <c r="K678" s="614">
        <f t="shared" si="20"/>
        <v>24717600</v>
      </c>
      <c r="L678" s="614">
        <f t="shared" si="21"/>
        <v>12463265.77</v>
      </c>
    </row>
    <row r="679" spans="1:12" ht="30" customHeight="1">
      <c r="A679" s="266" t="s">
        <v>92</v>
      </c>
      <c r="B679" s="273" t="s">
        <v>448</v>
      </c>
      <c r="C679" s="273" t="s">
        <v>482</v>
      </c>
      <c r="D679" s="190">
        <v>60100</v>
      </c>
      <c r="E679" s="181" t="s">
        <v>7</v>
      </c>
      <c r="F679" s="276"/>
      <c r="G679" s="182">
        <v>611000</v>
      </c>
      <c r="H679" s="182">
        <v>152500</v>
      </c>
      <c r="I679" s="182">
        <v>611000</v>
      </c>
      <c r="J679" s="315"/>
      <c r="K679" s="614">
        <f t="shared" si="20"/>
        <v>611000</v>
      </c>
      <c r="L679" s="614">
        <f t="shared" si="21"/>
        <v>458500</v>
      </c>
    </row>
    <row r="680" spans="1:12" ht="30" customHeight="1">
      <c r="A680" s="266" t="s">
        <v>92</v>
      </c>
      <c r="B680" s="273" t="s">
        <v>448</v>
      </c>
      <c r="C680" s="273" t="s">
        <v>482</v>
      </c>
      <c r="D680" s="188">
        <v>6122</v>
      </c>
      <c r="E680" s="235" t="s">
        <v>582</v>
      </c>
      <c r="F680" s="276"/>
      <c r="G680" s="182">
        <v>470000</v>
      </c>
      <c r="H680" s="182">
        <v>107500</v>
      </c>
      <c r="I680" s="182">
        <v>470000</v>
      </c>
      <c r="J680" s="315"/>
      <c r="K680" s="614">
        <f t="shared" si="20"/>
        <v>470000</v>
      </c>
      <c r="L680" s="614">
        <f t="shared" si="21"/>
        <v>362500</v>
      </c>
    </row>
    <row r="681" spans="1:12" ht="30" customHeight="1">
      <c r="A681" s="266" t="s">
        <v>92</v>
      </c>
      <c r="B681" s="273" t="s">
        <v>448</v>
      </c>
      <c r="C681" s="273" t="s">
        <v>482</v>
      </c>
      <c r="D681" s="283" t="s">
        <v>20</v>
      </c>
      <c r="E681" s="276"/>
      <c r="F681" s="299">
        <f>SUBTOTAL(109,F678:F680)</f>
        <v>7</v>
      </c>
      <c r="G681" s="299">
        <f>SUBTOTAL(109,G678:G680)</f>
        <v>25798600</v>
      </c>
      <c r="H681" s="299">
        <f>SUBTOTAL(109,H678:H680)</f>
        <v>12514334.23</v>
      </c>
      <c r="I681" s="299">
        <f>SUBTOTAL(109,I678:I680)</f>
        <v>25798600</v>
      </c>
      <c r="J681" s="299"/>
      <c r="K681" s="614">
        <f t="shared" si="20"/>
        <v>25798600</v>
      </c>
      <c r="L681" s="614">
        <f t="shared" si="21"/>
        <v>13284265.77</v>
      </c>
    </row>
    <row r="682" spans="1:12" ht="30" customHeight="1">
      <c r="A682" s="266" t="s">
        <v>92</v>
      </c>
      <c r="B682" s="273" t="s">
        <v>449</v>
      </c>
      <c r="C682" s="273" t="s">
        <v>485</v>
      </c>
      <c r="D682" s="275" t="s">
        <v>113</v>
      </c>
      <c r="E682" s="276"/>
      <c r="F682" s="276"/>
      <c r="G682" s="341"/>
      <c r="H682" s="341"/>
      <c r="I682" s="341"/>
      <c r="J682" s="299"/>
      <c r="K682" s="614">
        <f t="shared" si="20"/>
        <v>0</v>
      </c>
      <c r="L682" s="614">
        <f t="shared" si="21"/>
        <v>0</v>
      </c>
    </row>
    <row r="683" spans="1:12" ht="30" customHeight="1">
      <c r="A683" s="266" t="s">
        <v>92</v>
      </c>
      <c r="B683" s="273" t="s">
        <v>449</v>
      </c>
      <c r="C683" s="273" t="s">
        <v>485</v>
      </c>
      <c r="D683" s="190">
        <v>60100</v>
      </c>
      <c r="E683" s="181" t="s">
        <v>7</v>
      </c>
      <c r="F683" s="276"/>
      <c r="G683" s="341"/>
      <c r="H683" s="341"/>
      <c r="I683" s="341"/>
      <c r="J683" s="326"/>
      <c r="K683" s="614">
        <f t="shared" si="20"/>
        <v>0</v>
      </c>
      <c r="L683" s="614">
        <f t="shared" si="21"/>
        <v>0</v>
      </c>
    </row>
    <row r="684" spans="1:12" ht="30" customHeight="1">
      <c r="A684" s="266" t="s">
        <v>92</v>
      </c>
      <c r="B684" s="273" t="s">
        <v>449</v>
      </c>
      <c r="C684" s="273" t="s">
        <v>485</v>
      </c>
      <c r="D684" s="188">
        <v>6122</v>
      </c>
      <c r="E684" s="235" t="s">
        <v>582</v>
      </c>
      <c r="F684" s="278"/>
      <c r="G684" s="341"/>
      <c r="H684" s="341"/>
      <c r="I684" s="341"/>
      <c r="J684" s="326"/>
      <c r="K684" s="614">
        <f t="shared" si="20"/>
        <v>0</v>
      </c>
      <c r="L684" s="614">
        <f t="shared" si="21"/>
        <v>0</v>
      </c>
    </row>
    <row r="685" spans="1:12" ht="30" customHeight="1">
      <c r="A685" s="266" t="s">
        <v>92</v>
      </c>
      <c r="B685" s="273" t="s">
        <v>449</v>
      </c>
      <c r="C685" s="273" t="s">
        <v>485</v>
      </c>
      <c r="D685" s="283" t="s">
        <v>20</v>
      </c>
      <c r="E685" s="276"/>
      <c r="F685" s="276"/>
      <c r="G685" s="299">
        <f>SUBTOTAL(109,G683:G684)</f>
        <v>0</v>
      </c>
      <c r="H685" s="299">
        <f>SUBTOTAL(109,H683:H684)</f>
        <v>0</v>
      </c>
      <c r="I685" s="299">
        <f>SUBTOTAL(109,I683:I684)</f>
        <v>0</v>
      </c>
      <c r="J685" s="326"/>
      <c r="K685" s="614">
        <f t="shared" si="20"/>
        <v>0</v>
      </c>
      <c r="L685" s="614">
        <f t="shared" si="21"/>
        <v>0</v>
      </c>
    </row>
    <row r="686" spans="1:12" ht="30" customHeight="1">
      <c r="A686" s="241" t="s">
        <v>92</v>
      </c>
      <c r="B686" s="273" t="s">
        <v>450</v>
      </c>
      <c r="C686" s="273" t="s">
        <v>642</v>
      </c>
      <c r="D686" s="195" t="s">
        <v>595</v>
      </c>
      <c r="E686" s="226"/>
      <c r="F686" s="226"/>
      <c r="G686" s="299"/>
      <c r="H686" s="267"/>
      <c r="I686" s="299"/>
      <c r="J686" s="326"/>
      <c r="K686" s="614">
        <f t="shared" si="20"/>
        <v>0</v>
      </c>
      <c r="L686" s="614">
        <f t="shared" si="21"/>
        <v>0</v>
      </c>
    </row>
    <row r="687" spans="1:12" ht="30" customHeight="1">
      <c r="A687" s="241" t="s">
        <v>92</v>
      </c>
      <c r="B687" s="329" t="s">
        <v>450</v>
      </c>
      <c r="C687" s="273" t="s">
        <v>642</v>
      </c>
      <c r="D687" s="188">
        <v>6311</v>
      </c>
      <c r="E687" s="179" t="s">
        <v>596</v>
      </c>
      <c r="F687" s="226"/>
      <c r="G687" s="341">
        <v>50400000</v>
      </c>
      <c r="H687" s="267"/>
      <c r="I687" s="341">
        <v>50400000</v>
      </c>
      <c r="J687" s="326"/>
      <c r="K687" s="614">
        <f t="shared" si="20"/>
        <v>50400000</v>
      </c>
      <c r="L687" s="614">
        <f t="shared" si="21"/>
        <v>50400000</v>
      </c>
    </row>
    <row r="688" spans="1:12" ht="30" customHeight="1">
      <c r="A688" s="241" t="s">
        <v>92</v>
      </c>
      <c r="B688" s="273" t="s">
        <v>450</v>
      </c>
      <c r="C688" s="273" t="s">
        <v>642</v>
      </c>
      <c r="D688" s="283" t="s">
        <v>20</v>
      </c>
      <c r="E688" s="226"/>
      <c r="F688" s="226"/>
      <c r="G688" s="299">
        <f>SUM(G687)</f>
        <v>50400000</v>
      </c>
      <c r="H688" s="299">
        <f>SUM(H687)</f>
        <v>0</v>
      </c>
      <c r="I688" s="299">
        <f>SUM(I687)</f>
        <v>50400000</v>
      </c>
      <c r="J688" s="326"/>
      <c r="K688" s="614">
        <f t="shared" si="20"/>
        <v>50400000</v>
      </c>
      <c r="L688" s="614">
        <f t="shared" si="21"/>
        <v>50400000</v>
      </c>
    </row>
    <row r="689" spans="1:12" ht="30" customHeight="1">
      <c r="A689" s="266" t="s">
        <v>92</v>
      </c>
      <c r="B689" s="339" t="s">
        <v>72</v>
      </c>
      <c r="C689" s="339"/>
      <c r="D689" s="190"/>
      <c r="E689" s="276"/>
      <c r="F689" s="299">
        <f>F685+F681+F676+F671+F663+F656</f>
        <v>28</v>
      </c>
      <c r="G689" s="299">
        <f>G685+G681+G676+G671+G663+G656+G688</f>
        <v>140618185</v>
      </c>
      <c r="H689" s="299">
        <f>H685+H681+H676+H671+H663+H656</f>
        <v>98084500.88</v>
      </c>
      <c r="I689" s="299">
        <f>I685+I681+I676+I671+I663+I656+I688</f>
        <v>140618185</v>
      </c>
      <c r="J689" s="295"/>
      <c r="K689" s="614">
        <f t="shared" si="20"/>
        <v>140618185</v>
      </c>
      <c r="L689" s="614">
        <f t="shared" si="21"/>
        <v>42533684.120000005</v>
      </c>
    </row>
    <row r="690" spans="1:12" ht="30" customHeight="1">
      <c r="A690" s="266" t="s">
        <v>259</v>
      </c>
      <c r="B690" s="343" t="s">
        <v>533</v>
      </c>
      <c r="C690" s="343"/>
      <c r="D690" s="191"/>
      <c r="E690" s="298"/>
      <c r="F690" s="284"/>
      <c r="G690" s="297"/>
      <c r="H690" s="297"/>
      <c r="I690" s="297"/>
      <c r="J690" s="326"/>
      <c r="K690" s="614">
        <f t="shared" si="20"/>
        <v>0</v>
      </c>
      <c r="L690" s="614">
        <f t="shared" si="21"/>
        <v>0</v>
      </c>
    </row>
    <row r="691" spans="1:12" ht="30" customHeight="1">
      <c r="A691" s="266" t="s">
        <v>259</v>
      </c>
      <c r="B691" s="325">
        <v>1001</v>
      </c>
      <c r="C691" s="243" t="s">
        <v>487</v>
      </c>
      <c r="D691" s="249" t="s">
        <v>116</v>
      </c>
      <c r="E691" s="298"/>
      <c r="F691" s="284"/>
      <c r="G691" s="297"/>
      <c r="H691" s="297"/>
      <c r="I691" s="297"/>
      <c r="J691" s="326"/>
      <c r="K691" s="614">
        <f t="shared" si="20"/>
        <v>0</v>
      </c>
      <c r="L691" s="614">
        <f t="shared" si="21"/>
        <v>0</v>
      </c>
    </row>
    <row r="692" spans="1:12" ht="30" customHeight="1">
      <c r="A692" s="266" t="s">
        <v>259</v>
      </c>
      <c r="B692" s="325">
        <v>1001</v>
      </c>
      <c r="C692" s="243" t="s">
        <v>487</v>
      </c>
      <c r="D692" s="191">
        <v>6611</v>
      </c>
      <c r="E692" s="196" t="s">
        <v>6</v>
      </c>
      <c r="F692" s="284">
        <f>7+1</f>
        <v>8</v>
      </c>
      <c r="G692" s="288">
        <v>23190240</v>
      </c>
      <c r="H692" s="288">
        <f>85413732.39+3072667</f>
        <v>88486399.39</v>
      </c>
      <c r="I692" s="288">
        <v>23190240</v>
      </c>
      <c r="J692" s="326"/>
      <c r="K692" s="614">
        <f t="shared" si="20"/>
        <v>23190240</v>
      </c>
      <c r="L692" s="614">
        <f t="shared" si="21"/>
        <v>-65296159.39</v>
      </c>
    </row>
    <row r="693" spans="1:12" ht="30" customHeight="1">
      <c r="A693" s="266" t="s">
        <v>259</v>
      </c>
      <c r="B693" s="325">
        <v>1001</v>
      </c>
      <c r="C693" s="243" t="s">
        <v>487</v>
      </c>
      <c r="D693" s="191">
        <v>60100</v>
      </c>
      <c r="E693" s="196" t="s">
        <v>7</v>
      </c>
      <c r="F693" s="284"/>
      <c r="G693" s="288">
        <v>882900</v>
      </c>
      <c r="H693" s="288">
        <v>213650</v>
      </c>
      <c r="I693" s="288">
        <v>882900</v>
      </c>
      <c r="J693" s="326"/>
      <c r="K693" s="614">
        <f t="shared" si="20"/>
        <v>882900</v>
      </c>
      <c r="L693" s="614">
        <f t="shared" si="21"/>
        <v>669250</v>
      </c>
    </row>
    <row r="694" spans="1:12" ht="30" customHeight="1">
      <c r="A694" s="266" t="s">
        <v>259</v>
      </c>
      <c r="B694" s="325">
        <v>1001</v>
      </c>
      <c r="C694" s="243" t="s">
        <v>487</v>
      </c>
      <c r="D694" s="188">
        <v>6122</v>
      </c>
      <c r="E694" s="235" t="s">
        <v>582</v>
      </c>
      <c r="F694" s="96"/>
      <c r="G694" s="288">
        <v>588600</v>
      </c>
      <c r="H694" s="288"/>
      <c r="I694" s="288">
        <v>588600</v>
      </c>
      <c r="J694" s="326"/>
      <c r="K694" s="614">
        <f t="shared" si="20"/>
        <v>588600</v>
      </c>
      <c r="L694" s="614">
        <f t="shared" si="21"/>
        <v>588600</v>
      </c>
    </row>
    <row r="695" spans="1:12" ht="30" customHeight="1">
      <c r="A695" s="266" t="s">
        <v>259</v>
      </c>
      <c r="B695" s="325">
        <v>1001</v>
      </c>
      <c r="C695" s="243" t="s">
        <v>487</v>
      </c>
      <c r="D695" s="210">
        <v>6175</v>
      </c>
      <c r="E695" s="262" t="s">
        <v>13</v>
      </c>
      <c r="F695" s="96"/>
      <c r="G695" s="288">
        <v>981000</v>
      </c>
      <c r="H695" s="288">
        <v>735750</v>
      </c>
      <c r="I695" s="288">
        <v>981000</v>
      </c>
      <c r="J695" s="326"/>
      <c r="K695" s="614">
        <f t="shared" si="20"/>
        <v>981000</v>
      </c>
      <c r="L695" s="614">
        <f t="shared" si="21"/>
        <v>245250</v>
      </c>
    </row>
    <row r="696" spans="1:12" ht="30" customHeight="1">
      <c r="A696" s="266" t="s">
        <v>259</v>
      </c>
      <c r="B696" s="325">
        <v>1001</v>
      </c>
      <c r="C696" s="243" t="s">
        <v>487</v>
      </c>
      <c r="D696" s="268" t="s">
        <v>20</v>
      </c>
      <c r="E696" s="298"/>
      <c r="F696" s="295">
        <f>SUBTOTAL(109,F692:F695)</f>
        <v>8</v>
      </c>
      <c r="G696" s="295">
        <f>SUBTOTAL(109,G692:G695)</f>
        <v>25642740</v>
      </c>
      <c r="H696" s="295">
        <f>SUBTOTAL(109,H692:H695)</f>
        <v>89435799.39</v>
      </c>
      <c r="I696" s="295">
        <f>SUBTOTAL(109,I692:I695)</f>
        <v>25642740</v>
      </c>
      <c r="J696" s="295"/>
      <c r="K696" s="614">
        <f t="shared" si="20"/>
        <v>25642740</v>
      </c>
      <c r="L696" s="614">
        <f t="shared" si="21"/>
        <v>-63793059.39</v>
      </c>
    </row>
    <row r="697" spans="1:12" ht="30" customHeight="1">
      <c r="A697" s="266" t="s">
        <v>259</v>
      </c>
      <c r="B697" s="296">
        <v>1002</v>
      </c>
      <c r="C697" s="243" t="s">
        <v>487</v>
      </c>
      <c r="D697" s="271" t="s">
        <v>66</v>
      </c>
      <c r="E697" s="226"/>
      <c r="F697" s="226"/>
      <c r="G697" s="295"/>
      <c r="H697" s="344"/>
      <c r="I697" s="344"/>
      <c r="J697" s="326"/>
      <c r="K697" s="614">
        <f t="shared" si="20"/>
        <v>0</v>
      </c>
      <c r="L697" s="614">
        <f t="shared" si="21"/>
        <v>0</v>
      </c>
    </row>
    <row r="698" spans="1:12" ht="30" customHeight="1">
      <c r="A698" s="266" t="s">
        <v>259</v>
      </c>
      <c r="B698" s="296">
        <v>1002</v>
      </c>
      <c r="C698" s="243" t="s">
        <v>487</v>
      </c>
      <c r="D698" s="191">
        <v>6611</v>
      </c>
      <c r="E698" s="192" t="s">
        <v>6</v>
      </c>
      <c r="F698" s="226">
        <f>58+7</f>
        <v>65</v>
      </c>
      <c r="G698" s="288">
        <v>103044805.7</v>
      </c>
      <c r="H698" s="288">
        <v>34502633.07</v>
      </c>
      <c r="I698" s="288">
        <v>103044805.7</v>
      </c>
      <c r="J698" s="326"/>
      <c r="K698" s="614">
        <f t="shared" si="20"/>
        <v>103044805.7</v>
      </c>
      <c r="L698" s="614">
        <f t="shared" si="21"/>
        <v>68542172.63</v>
      </c>
    </row>
    <row r="699" spans="1:12" ht="30" customHeight="1">
      <c r="A699" s="266" t="s">
        <v>259</v>
      </c>
      <c r="B699" s="296">
        <v>1002</v>
      </c>
      <c r="C699" s="243" t="s">
        <v>487</v>
      </c>
      <c r="D699" s="191">
        <v>60100</v>
      </c>
      <c r="E699" s="192" t="s">
        <v>7</v>
      </c>
      <c r="F699" s="226"/>
      <c r="G699" s="288">
        <v>500000</v>
      </c>
      <c r="H699" s="288">
        <v>123850</v>
      </c>
      <c r="I699" s="288">
        <v>500000</v>
      </c>
      <c r="J699" s="326"/>
      <c r="K699" s="614">
        <f t="shared" si="20"/>
        <v>500000</v>
      </c>
      <c r="L699" s="614">
        <f t="shared" si="21"/>
        <v>376150</v>
      </c>
    </row>
    <row r="700" spans="1:12" ht="30" customHeight="1">
      <c r="A700" s="266" t="s">
        <v>259</v>
      </c>
      <c r="B700" s="296">
        <v>1002</v>
      </c>
      <c r="C700" s="243" t="s">
        <v>487</v>
      </c>
      <c r="D700" s="191">
        <v>60101</v>
      </c>
      <c r="E700" s="192" t="s">
        <v>255</v>
      </c>
      <c r="F700" s="226"/>
      <c r="G700" s="288"/>
      <c r="H700" s="288"/>
      <c r="I700" s="288"/>
      <c r="J700" s="326"/>
      <c r="K700" s="614">
        <f t="shared" si="20"/>
        <v>0</v>
      </c>
      <c r="L700" s="614">
        <f t="shared" si="21"/>
        <v>0</v>
      </c>
    </row>
    <row r="701" spans="1:12" ht="30" customHeight="1">
      <c r="A701" s="266" t="s">
        <v>259</v>
      </c>
      <c r="B701" s="296">
        <v>1002</v>
      </c>
      <c r="C701" s="243" t="s">
        <v>487</v>
      </c>
      <c r="D701" s="188">
        <v>6122</v>
      </c>
      <c r="E701" s="235" t="s">
        <v>582</v>
      </c>
      <c r="F701" s="226"/>
      <c r="G701" s="288">
        <v>400000</v>
      </c>
      <c r="H701" s="288">
        <v>100000</v>
      </c>
      <c r="I701" s="288">
        <v>400000</v>
      </c>
      <c r="J701" s="326"/>
      <c r="K701" s="614">
        <f t="shared" si="20"/>
        <v>400000</v>
      </c>
      <c r="L701" s="614">
        <f t="shared" si="21"/>
        <v>300000</v>
      </c>
    </row>
    <row r="702" spans="1:12" ht="24" customHeight="1">
      <c r="A702" s="266" t="s">
        <v>259</v>
      </c>
      <c r="B702" s="296">
        <v>1002</v>
      </c>
      <c r="C702" s="243" t="s">
        <v>487</v>
      </c>
      <c r="D702" s="191">
        <v>6175</v>
      </c>
      <c r="E702" s="194" t="s">
        <v>13</v>
      </c>
      <c r="F702" s="253"/>
      <c r="G702" s="288"/>
      <c r="H702" s="288"/>
      <c r="I702" s="288"/>
      <c r="J702" s="326"/>
      <c r="K702" s="614">
        <f t="shared" si="20"/>
        <v>0</v>
      </c>
      <c r="L702" s="614">
        <f t="shared" si="21"/>
        <v>0</v>
      </c>
    </row>
    <row r="703" spans="1:12" ht="30" customHeight="1">
      <c r="A703" s="266" t="s">
        <v>259</v>
      </c>
      <c r="B703" s="296">
        <v>1002</v>
      </c>
      <c r="C703" s="243" t="s">
        <v>487</v>
      </c>
      <c r="D703" s="257" t="s">
        <v>20</v>
      </c>
      <c r="E703" s="226"/>
      <c r="F703" s="295">
        <f>SUM(F698:F702)</f>
        <v>65</v>
      </c>
      <c r="G703" s="295">
        <f>SUM(G698:G702)</f>
        <v>103944805.7</v>
      </c>
      <c r="H703" s="295">
        <f>SUM(H698:H702)</f>
        <v>34726483.07</v>
      </c>
      <c r="I703" s="295">
        <f>SUM(I698:I702)</f>
        <v>103944805.7</v>
      </c>
      <c r="J703" s="326"/>
      <c r="K703" s="614">
        <f t="shared" si="20"/>
        <v>103944805.7</v>
      </c>
      <c r="L703" s="614">
        <f t="shared" si="21"/>
        <v>69218322.63</v>
      </c>
    </row>
    <row r="704" spans="1:12" ht="30" customHeight="1">
      <c r="A704" s="345" t="s">
        <v>259</v>
      </c>
      <c r="B704" s="346">
        <v>1003</v>
      </c>
      <c r="C704" s="243" t="s">
        <v>487</v>
      </c>
      <c r="D704" s="249" t="s">
        <v>534</v>
      </c>
      <c r="E704" s="285"/>
      <c r="F704" s="286"/>
      <c r="G704" s="287"/>
      <c r="H704" s="287"/>
      <c r="I704" s="287"/>
      <c r="J704" s="326"/>
      <c r="K704" s="614">
        <f t="shared" si="20"/>
        <v>0</v>
      </c>
      <c r="L704" s="614">
        <f t="shared" si="21"/>
        <v>0</v>
      </c>
    </row>
    <row r="705" spans="1:12" ht="30" customHeight="1">
      <c r="A705" s="347" t="s">
        <v>259</v>
      </c>
      <c r="B705" s="346">
        <v>1003</v>
      </c>
      <c r="C705" s="243" t="s">
        <v>487</v>
      </c>
      <c r="D705" s="188">
        <v>6611</v>
      </c>
      <c r="E705" s="196" t="s">
        <v>6</v>
      </c>
      <c r="F705" s="284">
        <v>3</v>
      </c>
      <c r="G705" s="288">
        <v>7980000</v>
      </c>
      <c r="H705" s="288">
        <v>10174400</v>
      </c>
      <c r="I705" s="288">
        <v>7980000</v>
      </c>
      <c r="J705" s="326"/>
      <c r="K705" s="614">
        <f t="shared" si="20"/>
        <v>7980000</v>
      </c>
      <c r="L705" s="614">
        <f t="shared" si="21"/>
        <v>-2194400</v>
      </c>
    </row>
    <row r="706" spans="1:12" s="587" customFormat="1" ht="30" customHeight="1">
      <c r="A706" s="345" t="s">
        <v>259</v>
      </c>
      <c r="B706" s="346">
        <v>1003</v>
      </c>
      <c r="C706" s="243" t="s">
        <v>487</v>
      </c>
      <c r="D706" s="191">
        <v>60100</v>
      </c>
      <c r="E706" s="196" t="s">
        <v>34</v>
      </c>
      <c r="F706" s="284"/>
      <c r="G706" s="288">
        <v>882900</v>
      </c>
      <c r="H706" s="288">
        <v>662150</v>
      </c>
      <c r="I706" s="288">
        <v>882900</v>
      </c>
      <c r="J706" s="326"/>
      <c r="K706" s="614">
        <f t="shared" si="20"/>
        <v>882900</v>
      </c>
      <c r="L706" s="614">
        <f t="shared" si="21"/>
        <v>220750</v>
      </c>
    </row>
    <row r="707" spans="1:12" s="587" customFormat="1" ht="30" customHeight="1">
      <c r="A707" s="345" t="s">
        <v>259</v>
      </c>
      <c r="B707" s="346">
        <v>1003</v>
      </c>
      <c r="C707" s="243" t="s">
        <v>487</v>
      </c>
      <c r="D707" s="188">
        <v>6122</v>
      </c>
      <c r="E707" s="235" t="s">
        <v>582</v>
      </c>
      <c r="F707" s="96"/>
      <c r="G707" s="288">
        <v>588600</v>
      </c>
      <c r="H707" s="288">
        <v>440000</v>
      </c>
      <c r="I707" s="288">
        <v>588600</v>
      </c>
      <c r="J707" s="315"/>
      <c r="K707" s="614">
        <f t="shared" si="20"/>
        <v>588600</v>
      </c>
      <c r="L707" s="614">
        <f t="shared" si="21"/>
        <v>148600</v>
      </c>
    </row>
    <row r="708" spans="1:12" s="587" customFormat="1" ht="30" customHeight="1">
      <c r="A708" s="345" t="s">
        <v>259</v>
      </c>
      <c r="B708" s="346">
        <v>1003</v>
      </c>
      <c r="C708" s="243" t="s">
        <v>487</v>
      </c>
      <c r="D708" s="191">
        <v>6175</v>
      </c>
      <c r="E708" s="262" t="s">
        <v>13</v>
      </c>
      <c r="F708" s="96"/>
      <c r="G708" s="288">
        <v>490500</v>
      </c>
      <c r="H708" s="288">
        <v>366000</v>
      </c>
      <c r="I708" s="288">
        <v>490500</v>
      </c>
      <c r="J708" s="315"/>
      <c r="K708" s="614">
        <f t="shared" si="20"/>
        <v>490500</v>
      </c>
      <c r="L708" s="614">
        <f t="shared" si="21"/>
        <v>124500</v>
      </c>
    </row>
    <row r="709" spans="1:12" s="587" customFormat="1" ht="30" customHeight="1">
      <c r="A709" s="345" t="s">
        <v>259</v>
      </c>
      <c r="B709" s="346">
        <v>1003</v>
      </c>
      <c r="C709" s="243" t="s">
        <v>487</v>
      </c>
      <c r="D709" s="268" t="s">
        <v>20</v>
      </c>
      <c r="E709" s="298"/>
      <c r="F709" s="284"/>
      <c r="G709" s="295">
        <f>SUBTOTAL(109,G705:G708)</f>
        <v>9942000</v>
      </c>
      <c r="H709" s="295">
        <f>SUBTOTAL(109,H705:H708)</f>
        <v>11642550</v>
      </c>
      <c r="I709" s="295">
        <f>SUBTOTAL(109,I705:I708)</f>
        <v>9942000</v>
      </c>
      <c r="J709" s="295"/>
      <c r="K709" s="614">
        <f t="shared" si="20"/>
        <v>9942000</v>
      </c>
      <c r="L709" s="614">
        <f t="shared" si="21"/>
        <v>-1700550</v>
      </c>
    </row>
    <row r="710" spans="1:12" s="587" customFormat="1" ht="30" customHeight="1">
      <c r="A710" s="345" t="s">
        <v>259</v>
      </c>
      <c r="B710" s="349">
        <v>1004</v>
      </c>
      <c r="C710" s="243" t="s">
        <v>487</v>
      </c>
      <c r="D710" s="249" t="s">
        <v>305</v>
      </c>
      <c r="E710" s="285"/>
      <c r="F710" s="286"/>
      <c r="G710" s="297"/>
      <c r="H710" s="297"/>
      <c r="I710" s="297"/>
      <c r="J710" s="326"/>
      <c r="K710" s="614">
        <f aca="true" t="shared" si="22" ref="K710:K715">I710+J710</f>
        <v>0</v>
      </c>
      <c r="L710" s="614">
        <f t="shared" si="21"/>
        <v>0</v>
      </c>
    </row>
    <row r="711" spans="1:12" s="587" customFormat="1" ht="30" customHeight="1">
      <c r="A711" s="345" t="s">
        <v>259</v>
      </c>
      <c r="B711" s="349">
        <v>1004</v>
      </c>
      <c r="C711" s="243" t="s">
        <v>487</v>
      </c>
      <c r="D711" s="191">
        <v>6611</v>
      </c>
      <c r="E711" s="289" t="s">
        <v>6</v>
      </c>
      <c r="F711" s="286">
        <v>16</v>
      </c>
      <c r="G711" s="297">
        <v>29243600</v>
      </c>
      <c r="H711" s="297">
        <v>28581265.17</v>
      </c>
      <c r="I711" s="297">
        <v>29243600</v>
      </c>
      <c r="J711" s="326"/>
      <c r="K711" s="614">
        <f t="shared" si="22"/>
        <v>29243600</v>
      </c>
      <c r="L711" s="614">
        <f aca="true" t="shared" si="23" ref="L711:L774">K711-H711</f>
        <v>662334.8299999982</v>
      </c>
    </row>
    <row r="712" spans="1:12" s="587" customFormat="1" ht="30" customHeight="1">
      <c r="A712" s="345" t="s">
        <v>259</v>
      </c>
      <c r="B712" s="349">
        <v>1004</v>
      </c>
      <c r="C712" s="243" t="s">
        <v>487</v>
      </c>
      <c r="D712" s="191">
        <v>60100</v>
      </c>
      <c r="E712" s="196" t="s">
        <v>7</v>
      </c>
      <c r="F712" s="284"/>
      <c r="G712" s="288">
        <v>588600</v>
      </c>
      <c r="H712" s="288"/>
      <c r="I712" s="288">
        <v>588600</v>
      </c>
      <c r="J712" s="326"/>
      <c r="K712" s="614">
        <f t="shared" si="22"/>
        <v>588600</v>
      </c>
      <c r="L712" s="614">
        <f t="shared" si="23"/>
        <v>588600</v>
      </c>
    </row>
    <row r="713" spans="1:12" s="587" customFormat="1" ht="30" customHeight="1">
      <c r="A713" s="345" t="s">
        <v>259</v>
      </c>
      <c r="B713" s="349">
        <v>1004</v>
      </c>
      <c r="C713" s="243" t="s">
        <v>487</v>
      </c>
      <c r="D713" s="188">
        <v>6122</v>
      </c>
      <c r="E713" s="235" t="s">
        <v>582</v>
      </c>
      <c r="F713" s="96"/>
      <c r="G713" s="297"/>
      <c r="H713" s="297"/>
      <c r="I713" s="297"/>
      <c r="J713" s="326"/>
      <c r="K713" s="614">
        <f t="shared" si="22"/>
        <v>0</v>
      </c>
      <c r="L713" s="614">
        <f t="shared" si="23"/>
        <v>0</v>
      </c>
    </row>
    <row r="714" spans="1:12" s="587" customFormat="1" ht="30" customHeight="1">
      <c r="A714" s="345" t="s">
        <v>259</v>
      </c>
      <c r="B714" s="349">
        <v>1004</v>
      </c>
      <c r="C714" s="243" t="s">
        <v>487</v>
      </c>
      <c r="D714" s="210">
        <v>21251</v>
      </c>
      <c r="E714" s="262" t="s">
        <v>579</v>
      </c>
      <c r="F714" s="96"/>
      <c r="G714" s="297">
        <v>500000000</v>
      </c>
      <c r="H714" s="344"/>
      <c r="I714" s="315">
        <v>500000000</v>
      </c>
      <c r="J714" s="326">
        <v>-400000000</v>
      </c>
      <c r="K714" s="614">
        <f t="shared" si="22"/>
        <v>100000000</v>
      </c>
      <c r="L714" s="614">
        <f t="shared" si="23"/>
        <v>100000000</v>
      </c>
    </row>
    <row r="715" spans="1:12" s="587" customFormat="1" ht="30" customHeight="1">
      <c r="A715" s="345" t="s">
        <v>259</v>
      </c>
      <c r="B715" s="349">
        <v>1004</v>
      </c>
      <c r="C715" s="243" t="s">
        <v>487</v>
      </c>
      <c r="D715" s="210">
        <v>2128</v>
      </c>
      <c r="E715" s="262" t="s">
        <v>581</v>
      </c>
      <c r="F715" s="96"/>
      <c r="G715" s="297">
        <v>2000000000</v>
      </c>
      <c r="H715" s="344"/>
      <c r="I715" s="297"/>
      <c r="J715" s="326"/>
      <c r="K715" s="614">
        <f t="shared" si="22"/>
        <v>0</v>
      </c>
      <c r="L715" s="614">
        <f t="shared" si="23"/>
        <v>0</v>
      </c>
    </row>
    <row r="716" spans="1:12" s="587" customFormat="1" ht="30" customHeight="1">
      <c r="A716" s="345" t="s">
        <v>259</v>
      </c>
      <c r="B716" s="349">
        <v>1004</v>
      </c>
      <c r="C716" s="243" t="s">
        <v>487</v>
      </c>
      <c r="D716" s="268" t="s">
        <v>20</v>
      </c>
      <c r="E716" s="298"/>
      <c r="F716" s="295">
        <f>SUBTOTAL(109,F711:F713)</f>
        <v>16</v>
      </c>
      <c r="G716" s="295">
        <f>SUBTOTAL(109,G711:G715)</f>
        <v>2529832200</v>
      </c>
      <c r="H716" s="295">
        <f>SUBTOTAL(109,H711:H713)</f>
        <v>28581265.17</v>
      </c>
      <c r="I716" s="295">
        <f>SUBTOTAL(109,I711:I715)</f>
        <v>529832200</v>
      </c>
      <c r="J716" s="610">
        <f>SUBTOTAL(109,J711:J715)</f>
        <v>-400000000</v>
      </c>
      <c r="K716" s="614">
        <f>SUBTOTAL(109,K711:K715)</f>
        <v>129832200</v>
      </c>
      <c r="L716" s="614">
        <f t="shared" si="23"/>
        <v>101250934.83</v>
      </c>
    </row>
    <row r="717" spans="1:12" s="587" customFormat="1" ht="30" customHeight="1">
      <c r="A717" s="345" t="s">
        <v>259</v>
      </c>
      <c r="B717" s="349">
        <v>1006</v>
      </c>
      <c r="C717" s="243" t="s">
        <v>489</v>
      </c>
      <c r="D717" s="264" t="s">
        <v>118</v>
      </c>
      <c r="E717" s="285"/>
      <c r="F717" s="286"/>
      <c r="G717" s="297"/>
      <c r="H717" s="297"/>
      <c r="I717" s="297"/>
      <c r="J717" s="326"/>
      <c r="K717" s="614">
        <f aca="true" t="shared" si="24" ref="K717:K780">I717+J717</f>
        <v>0</v>
      </c>
      <c r="L717" s="614">
        <f t="shared" si="23"/>
        <v>0</v>
      </c>
    </row>
    <row r="718" spans="1:12" s="587" customFormat="1" ht="30" customHeight="1">
      <c r="A718" s="345" t="s">
        <v>259</v>
      </c>
      <c r="B718" s="349">
        <v>1006</v>
      </c>
      <c r="C718" s="243" t="s">
        <v>489</v>
      </c>
      <c r="D718" s="191">
        <v>6611</v>
      </c>
      <c r="E718" s="196" t="s">
        <v>6</v>
      </c>
      <c r="F718" s="286">
        <v>13</v>
      </c>
      <c r="G718" s="297">
        <v>22168000</v>
      </c>
      <c r="H718" s="297">
        <v>17749999.330000002</v>
      </c>
      <c r="I718" s="297">
        <v>22168000</v>
      </c>
      <c r="J718" s="315"/>
      <c r="K718" s="614">
        <f t="shared" si="24"/>
        <v>22168000</v>
      </c>
      <c r="L718" s="614">
        <f t="shared" si="23"/>
        <v>4418000.669999998</v>
      </c>
    </row>
    <row r="719" spans="1:12" s="587" customFormat="1" ht="30" customHeight="1">
      <c r="A719" s="345" t="s">
        <v>259</v>
      </c>
      <c r="B719" s="349">
        <v>1006</v>
      </c>
      <c r="C719" s="243" t="s">
        <v>489</v>
      </c>
      <c r="D719" s="191">
        <v>60100</v>
      </c>
      <c r="E719" s="196" t="s">
        <v>7</v>
      </c>
      <c r="F719" s="284"/>
      <c r="G719" s="288">
        <v>4414500</v>
      </c>
      <c r="H719" s="288"/>
      <c r="I719" s="288">
        <v>4414500</v>
      </c>
      <c r="J719" s="315"/>
      <c r="K719" s="614">
        <f t="shared" si="24"/>
        <v>4414500</v>
      </c>
      <c r="L719" s="614">
        <f t="shared" si="23"/>
        <v>4414500</v>
      </c>
    </row>
    <row r="720" spans="1:12" s="587" customFormat="1" ht="30" customHeight="1">
      <c r="A720" s="345" t="s">
        <v>259</v>
      </c>
      <c r="B720" s="349">
        <v>1006</v>
      </c>
      <c r="C720" s="243" t="s">
        <v>489</v>
      </c>
      <c r="D720" s="191">
        <v>60101</v>
      </c>
      <c r="E720" s="196" t="s">
        <v>264</v>
      </c>
      <c r="F720" s="284"/>
      <c r="G720" s="288">
        <v>981000</v>
      </c>
      <c r="H720" s="288"/>
      <c r="I720" s="288">
        <v>981000</v>
      </c>
      <c r="J720" s="295"/>
      <c r="K720" s="614">
        <f t="shared" si="24"/>
        <v>981000</v>
      </c>
      <c r="L720" s="614">
        <f t="shared" si="23"/>
        <v>981000</v>
      </c>
    </row>
    <row r="721" spans="1:12" s="587" customFormat="1" ht="30" customHeight="1">
      <c r="A721" s="345" t="s">
        <v>259</v>
      </c>
      <c r="B721" s="349">
        <v>1006</v>
      </c>
      <c r="C721" s="243" t="s">
        <v>489</v>
      </c>
      <c r="D721" s="188">
        <v>6122</v>
      </c>
      <c r="E721" s="235" t="s">
        <v>582</v>
      </c>
      <c r="F721" s="96"/>
      <c r="G721" s="288">
        <v>2648700</v>
      </c>
      <c r="H721" s="288"/>
      <c r="I721" s="288">
        <v>2648700</v>
      </c>
      <c r="J721" s="326"/>
      <c r="K721" s="614">
        <f t="shared" si="24"/>
        <v>2648700</v>
      </c>
      <c r="L721" s="614">
        <f t="shared" si="23"/>
        <v>2648700</v>
      </c>
    </row>
    <row r="722" spans="1:12" s="587" customFormat="1" ht="30" customHeight="1">
      <c r="A722" s="345" t="s">
        <v>259</v>
      </c>
      <c r="B722" s="349">
        <v>1006</v>
      </c>
      <c r="C722" s="243" t="s">
        <v>489</v>
      </c>
      <c r="D722" s="191">
        <v>6173</v>
      </c>
      <c r="E722" s="196" t="s">
        <v>19</v>
      </c>
      <c r="F722" s="284"/>
      <c r="G722" s="288">
        <v>20054740</v>
      </c>
      <c r="H722" s="288"/>
      <c r="I722" s="288">
        <v>20054740</v>
      </c>
      <c r="J722" s="326">
        <v>-10000000</v>
      </c>
      <c r="K722" s="614">
        <f t="shared" si="24"/>
        <v>10054740</v>
      </c>
      <c r="L722" s="614">
        <f t="shared" si="23"/>
        <v>10054740</v>
      </c>
    </row>
    <row r="723" spans="1:12" s="587" customFormat="1" ht="30" customHeight="1">
      <c r="A723" s="345" t="s">
        <v>259</v>
      </c>
      <c r="B723" s="349">
        <v>1006</v>
      </c>
      <c r="C723" s="243" t="s">
        <v>489</v>
      </c>
      <c r="D723" s="191">
        <v>6175</v>
      </c>
      <c r="E723" s="196" t="s">
        <v>13</v>
      </c>
      <c r="F723" s="284"/>
      <c r="G723" s="288">
        <v>3433500</v>
      </c>
      <c r="H723" s="288"/>
      <c r="I723" s="288">
        <v>3433500</v>
      </c>
      <c r="J723" s="295"/>
      <c r="K723" s="614">
        <f t="shared" si="24"/>
        <v>3433500</v>
      </c>
      <c r="L723" s="614">
        <f t="shared" si="23"/>
        <v>3433500</v>
      </c>
    </row>
    <row r="724" spans="1:12" s="587" customFormat="1" ht="30" customHeight="1">
      <c r="A724" s="345" t="s">
        <v>259</v>
      </c>
      <c r="B724" s="329">
        <v>1006</v>
      </c>
      <c r="C724" s="243" t="s">
        <v>489</v>
      </c>
      <c r="D724" s="191">
        <v>6311</v>
      </c>
      <c r="E724" s="262" t="s">
        <v>330</v>
      </c>
      <c r="F724" s="96"/>
      <c r="G724" s="288">
        <v>57003716</v>
      </c>
      <c r="H724" s="288"/>
      <c r="I724" s="288">
        <v>57003716</v>
      </c>
      <c r="J724" s="326"/>
      <c r="K724" s="614">
        <f t="shared" si="24"/>
        <v>57003716</v>
      </c>
      <c r="L724" s="614">
        <f t="shared" si="23"/>
        <v>57003716</v>
      </c>
    </row>
    <row r="725" spans="1:12" s="587" customFormat="1" ht="30" customHeight="1">
      <c r="A725" s="347" t="s">
        <v>259</v>
      </c>
      <c r="B725" s="329">
        <v>1006</v>
      </c>
      <c r="C725" s="243" t="s">
        <v>489</v>
      </c>
      <c r="D725" s="191">
        <v>2121</v>
      </c>
      <c r="E725" s="350" t="s">
        <v>126</v>
      </c>
      <c r="F725" s="344"/>
      <c r="G725" s="288">
        <v>77358261.52000001</v>
      </c>
      <c r="H725" s="288"/>
      <c r="I725" s="288">
        <v>77358261.52000001</v>
      </c>
      <c r="J725" s="326"/>
      <c r="K725" s="614">
        <f t="shared" si="24"/>
        <v>77358261.52000001</v>
      </c>
      <c r="L725" s="614">
        <f t="shared" si="23"/>
        <v>77358261.52000001</v>
      </c>
    </row>
    <row r="726" spans="1:12" s="587" customFormat="1" ht="30" customHeight="1">
      <c r="A726" s="345" t="s">
        <v>259</v>
      </c>
      <c r="B726" s="329">
        <v>1006</v>
      </c>
      <c r="C726" s="243" t="s">
        <v>489</v>
      </c>
      <c r="D726" s="210">
        <v>21252</v>
      </c>
      <c r="E726" s="262" t="s">
        <v>580</v>
      </c>
      <c r="F726" s="96"/>
      <c r="G726" s="288"/>
      <c r="H726" s="348"/>
      <c r="I726" s="288"/>
      <c r="J726" s="326"/>
      <c r="K726" s="614">
        <f t="shared" si="24"/>
        <v>0</v>
      </c>
      <c r="L726" s="614">
        <f t="shared" si="23"/>
        <v>0</v>
      </c>
    </row>
    <row r="727" spans="1:12" s="587" customFormat="1" ht="30" customHeight="1">
      <c r="A727" s="345" t="s">
        <v>259</v>
      </c>
      <c r="B727" s="329">
        <v>1006</v>
      </c>
      <c r="C727" s="243" t="s">
        <v>489</v>
      </c>
      <c r="D727" s="268" t="s">
        <v>20</v>
      </c>
      <c r="E727" s="298"/>
      <c r="F727" s="295">
        <f>SUBTOTAL(109,F718:F724)</f>
        <v>13</v>
      </c>
      <c r="G727" s="295">
        <f>SUBTOTAL(109,G718:G726)</f>
        <v>188062417.52</v>
      </c>
      <c r="H727" s="295">
        <f>SUBTOTAL(109,H718:H726)</f>
        <v>17749999.330000002</v>
      </c>
      <c r="I727" s="295">
        <f>SUBTOTAL(109,I718:I726)</f>
        <v>188062417.52</v>
      </c>
      <c r="J727" s="610">
        <f>SUBTOTAL(109,J718:J726)</f>
        <v>-10000000</v>
      </c>
      <c r="K727" s="614">
        <f t="shared" si="24"/>
        <v>178062417.52</v>
      </c>
      <c r="L727" s="614">
        <f t="shared" si="23"/>
        <v>160312418.19</v>
      </c>
    </row>
    <row r="728" spans="1:12" s="587" customFormat="1" ht="30" customHeight="1">
      <c r="A728" s="345" t="s">
        <v>259</v>
      </c>
      <c r="B728" s="329">
        <v>1009</v>
      </c>
      <c r="C728" s="243" t="s">
        <v>492</v>
      </c>
      <c r="D728" s="265" t="s">
        <v>219</v>
      </c>
      <c r="E728" s="298"/>
      <c r="F728" s="284"/>
      <c r="G728" s="295"/>
      <c r="H728" s="295"/>
      <c r="I728" s="295"/>
      <c r="J728" s="326"/>
      <c r="K728" s="614">
        <f t="shared" si="24"/>
        <v>0</v>
      </c>
      <c r="L728" s="614">
        <f t="shared" si="23"/>
        <v>0</v>
      </c>
    </row>
    <row r="729" spans="1:12" s="587" customFormat="1" ht="30" customHeight="1">
      <c r="A729" s="345" t="s">
        <v>259</v>
      </c>
      <c r="B729" s="329">
        <v>1009</v>
      </c>
      <c r="C729" s="243" t="s">
        <v>492</v>
      </c>
      <c r="D729" s="191">
        <v>6173</v>
      </c>
      <c r="E729" s="196" t="s">
        <v>19</v>
      </c>
      <c r="F729" s="284"/>
      <c r="G729" s="288">
        <v>10000000</v>
      </c>
      <c r="H729" s="288">
        <v>5426660</v>
      </c>
      <c r="I729" s="288">
        <v>10000000</v>
      </c>
      <c r="J729" s="315"/>
      <c r="K729" s="614">
        <f t="shared" si="24"/>
        <v>10000000</v>
      </c>
      <c r="L729" s="614">
        <f t="shared" si="23"/>
        <v>4573340</v>
      </c>
    </row>
    <row r="730" spans="1:12" s="587" customFormat="1" ht="30" customHeight="1">
      <c r="A730" s="345" t="s">
        <v>259</v>
      </c>
      <c r="B730" s="329">
        <v>1009</v>
      </c>
      <c r="C730" s="243" t="s">
        <v>492</v>
      </c>
      <c r="D730" s="268" t="s">
        <v>20</v>
      </c>
      <c r="E730" s="298"/>
      <c r="F730" s="284"/>
      <c r="G730" s="295">
        <v>10000000</v>
      </c>
      <c r="H730" s="295">
        <f>SUBTOTAL(109,H729:H729)</f>
        <v>5426660</v>
      </c>
      <c r="I730" s="295">
        <v>10000000</v>
      </c>
      <c r="J730" s="295"/>
      <c r="K730" s="614">
        <f t="shared" si="24"/>
        <v>10000000</v>
      </c>
      <c r="L730" s="614">
        <f t="shared" si="23"/>
        <v>4573340</v>
      </c>
    </row>
    <row r="731" spans="1:12" s="587" customFormat="1" ht="30" customHeight="1">
      <c r="A731" s="345" t="s">
        <v>259</v>
      </c>
      <c r="B731" s="329">
        <v>1011</v>
      </c>
      <c r="C731" s="243" t="s">
        <v>493</v>
      </c>
      <c r="D731" s="249" t="s">
        <v>121</v>
      </c>
      <c r="E731" s="285"/>
      <c r="F731" s="286"/>
      <c r="G731" s="297"/>
      <c r="H731" s="297"/>
      <c r="I731" s="297"/>
      <c r="J731" s="326"/>
      <c r="K731" s="614">
        <f t="shared" si="24"/>
        <v>0</v>
      </c>
      <c r="L731" s="614">
        <f t="shared" si="23"/>
        <v>0</v>
      </c>
    </row>
    <row r="732" spans="1:12" s="587" customFormat="1" ht="30" customHeight="1">
      <c r="A732" s="345" t="s">
        <v>259</v>
      </c>
      <c r="B732" s="329">
        <v>1011</v>
      </c>
      <c r="C732" s="243" t="s">
        <v>493</v>
      </c>
      <c r="D732" s="188">
        <v>6611</v>
      </c>
      <c r="E732" s="192" t="s">
        <v>6</v>
      </c>
      <c r="F732" s="284">
        <v>3</v>
      </c>
      <c r="G732" s="288">
        <v>9109600</v>
      </c>
      <c r="H732" s="288">
        <v>4433600.239999999</v>
      </c>
      <c r="I732" s="288">
        <v>9109600</v>
      </c>
      <c r="J732" s="326"/>
      <c r="K732" s="614">
        <f t="shared" si="24"/>
        <v>9109600</v>
      </c>
      <c r="L732" s="614">
        <f t="shared" si="23"/>
        <v>4675999.760000001</v>
      </c>
    </row>
    <row r="733" spans="1:12" s="587" customFormat="1" ht="30" customHeight="1">
      <c r="A733" s="345" t="s">
        <v>259</v>
      </c>
      <c r="B733" s="329">
        <v>1011</v>
      </c>
      <c r="C733" s="243" t="s">
        <v>493</v>
      </c>
      <c r="D733" s="191">
        <v>60100</v>
      </c>
      <c r="E733" s="196" t="s">
        <v>7</v>
      </c>
      <c r="F733" s="284"/>
      <c r="G733" s="288">
        <v>0</v>
      </c>
      <c r="H733" s="288"/>
      <c r="I733" s="288">
        <v>0</v>
      </c>
      <c r="J733" s="326"/>
      <c r="K733" s="614">
        <f t="shared" si="24"/>
        <v>0</v>
      </c>
      <c r="L733" s="614">
        <f t="shared" si="23"/>
        <v>0</v>
      </c>
    </row>
    <row r="734" spans="1:12" s="587" customFormat="1" ht="30" customHeight="1">
      <c r="A734" s="345" t="s">
        <v>259</v>
      </c>
      <c r="B734" s="329">
        <v>1011</v>
      </c>
      <c r="C734" s="243" t="s">
        <v>493</v>
      </c>
      <c r="D734" s="191">
        <v>60101</v>
      </c>
      <c r="E734" s="196" t="s">
        <v>264</v>
      </c>
      <c r="F734" s="284"/>
      <c r="G734" s="288">
        <v>0</v>
      </c>
      <c r="H734" s="288"/>
      <c r="I734" s="288">
        <v>0</v>
      </c>
      <c r="J734" s="326"/>
      <c r="K734" s="614">
        <f t="shared" si="24"/>
        <v>0</v>
      </c>
      <c r="L734" s="614">
        <f t="shared" si="23"/>
        <v>0</v>
      </c>
    </row>
    <row r="735" spans="1:12" s="587" customFormat="1" ht="30" customHeight="1">
      <c r="A735" s="345" t="s">
        <v>259</v>
      </c>
      <c r="B735" s="329">
        <v>1011</v>
      </c>
      <c r="C735" s="243" t="s">
        <v>493</v>
      </c>
      <c r="D735" s="188">
        <v>6122</v>
      </c>
      <c r="E735" s="235" t="s">
        <v>582</v>
      </c>
      <c r="F735" s="96"/>
      <c r="G735" s="288">
        <v>0</v>
      </c>
      <c r="H735" s="288"/>
      <c r="I735" s="288">
        <v>0</v>
      </c>
      <c r="J735" s="326"/>
      <c r="K735" s="614">
        <f t="shared" si="24"/>
        <v>0</v>
      </c>
      <c r="L735" s="614">
        <f t="shared" si="23"/>
        <v>0</v>
      </c>
    </row>
    <row r="736" spans="1:12" s="587" customFormat="1" ht="30" customHeight="1">
      <c r="A736" s="345" t="s">
        <v>259</v>
      </c>
      <c r="B736" s="329">
        <v>1011</v>
      </c>
      <c r="C736" s="243" t="s">
        <v>493</v>
      </c>
      <c r="D736" s="188">
        <v>6311</v>
      </c>
      <c r="E736" s="235" t="s">
        <v>594</v>
      </c>
      <c r="F736" s="96"/>
      <c r="G736" s="288">
        <v>20000000</v>
      </c>
      <c r="H736" s="348">
        <v>10000000</v>
      </c>
      <c r="I736" s="288">
        <v>20000000</v>
      </c>
      <c r="J736" s="295"/>
      <c r="K736" s="614">
        <f t="shared" si="24"/>
        <v>20000000</v>
      </c>
      <c r="L736" s="614">
        <f t="shared" si="23"/>
        <v>10000000</v>
      </c>
    </row>
    <row r="737" spans="1:12" s="587" customFormat="1" ht="30" customHeight="1">
      <c r="A737" s="345" t="s">
        <v>259</v>
      </c>
      <c r="B737" s="329">
        <v>1011</v>
      </c>
      <c r="C737" s="243" t="s">
        <v>493</v>
      </c>
      <c r="D737" s="268" t="s">
        <v>20</v>
      </c>
      <c r="E737" s="298"/>
      <c r="F737" s="295">
        <f>SUBTOTAL(109,F732:F735)</f>
        <v>3</v>
      </c>
      <c r="G737" s="295">
        <f>SUBTOTAL(109,G732:G736)</f>
        <v>29109600</v>
      </c>
      <c r="H737" s="295">
        <f>SUBTOTAL(109,H732:H736)</f>
        <v>14433600.239999998</v>
      </c>
      <c r="I737" s="295">
        <f>SUBTOTAL(109,I732:I736)</f>
        <v>29109600</v>
      </c>
      <c r="J737" s="326"/>
      <c r="K737" s="614">
        <f t="shared" si="24"/>
        <v>29109600</v>
      </c>
      <c r="L737" s="614">
        <f t="shared" si="23"/>
        <v>14675999.760000002</v>
      </c>
    </row>
    <row r="738" spans="1:12" s="587" customFormat="1" ht="30" customHeight="1">
      <c r="A738" s="345" t="s">
        <v>259</v>
      </c>
      <c r="B738" s="329">
        <v>1013</v>
      </c>
      <c r="C738" s="243" t="s">
        <v>487</v>
      </c>
      <c r="D738" s="249" t="s">
        <v>123</v>
      </c>
      <c r="E738" s="285"/>
      <c r="F738" s="286"/>
      <c r="G738" s="297"/>
      <c r="H738" s="297"/>
      <c r="I738" s="297"/>
      <c r="J738" s="326"/>
      <c r="K738" s="614">
        <f t="shared" si="24"/>
        <v>0</v>
      </c>
      <c r="L738" s="614">
        <f t="shared" si="23"/>
        <v>0</v>
      </c>
    </row>
    <row r="739" spans="1:12" s="587" customFormat="1" ht="30" customHeight="1">
      <c r="A739" s="345" t="s">
        <v>259</v>
      </c>
      <c r="B739" s="329">
        <v>1013</v>
      </c>
      <c r="C739" s="243" t="s">
        <v>487</v>
      </c>
      <c r="D739" s="191">
        <v>60100</v>
      </c>
      <c r="E739" s="196" t="s">
        <v>7</v>
      </c>
      <c r="F739" s="284"/>
      <c r="G739" s="288">
        <v>752000</v>
      </c>
      <c r="H739" s="288"/>
      <c r="I739" s="288">
        <v>752000</v>
      </c>
      <c r="J739" s="326"/>
      <c r="K739" s="614">
        <f t="shared" si="24"/>
        <v>752000</v>
      </c>
      <c r="L739" s="614">
        <f t="shared" si="23"/>
        <v>752000</v>
      </c>
    </row>
    <row r="740" spans="1:12" s="587" customFormat="1" ht="30" customHeight="1">
      <c r="A740" s="345" t="s">
        <v>259</v>
      </c>
      <c r="B740" s="329">
        <v>1013</v>
      </c>
      <c r="C740" s="243" t="s">
        <v>487</v>
      </c>
      <c r="D740" s="191">
        <v>60101</v>
      </c>
      <c r="E740" s="196" t="s">
        <v>264</v>
      </c>
      <c r="F740" s="284"/>
      <c r="G740" s="288">
        <v>564000</v>
      </c>
      <c r="H740" s="288"/>
      <c r="I740" s="288">
        <v>564000</v>
      </c>
      <c r="J740" s="326"/>
      <c r="K740" s="614">
        <f t="shared" si="24"/>
        <v>564000</v>
      </c>
      <c r="L740" s="614">
        <f t="shared" si="23"/>
        <v>564000</v>
      </c>
    </row>
    <row r="741" spans="1:12" s="587" customFormat="1" ht="30" customHeight="1">
      <c r="A741" s="345" t="s">
        <v>259</v>
      </c>
      <c r="B741" s="329">
        <v>1013</v>
      </c>
      <c r="C741" s="243" t="s">
        <v>487</v>
      </c>
      <c r="D741" s="188">
        <v>6122</v>
      </c>
      <c r="E741" s="235" t="s">
        <v>582</v>
      </c>
      <c r="F741" s="96"/>
      <c r="G741" s="288">
        <v>470000</v>
      </c>
      <c r="H741" s="288"/>
      <c r="I741" s="288">
        <v>470000</v>
      </c>
      <c r="J741" s="326"/>
      <c r="K741" s="614">
        <f t="shared" si="24"/>
        <v>470000</v>
      </c>
      <c r="L741" s="614">
        <f t="shared" si="23"/>
        <v>470000</v>
      </c>
    </row>
    <row r="742" spans="1:12" s="587" customFormat="1" ht="30" customHeight="1">
      <c r="A742" s="345" t="s">
        <v>259</v>
      </c>
      <c r="B742" s="329">
        <v>1013</v>
      </c>
      <c r="C742" s="243" t="s">
        <v>487</v>
      </c>
      <c r="D742" s="191">
        <v>6021</v>
      </c>
      <c r="E742" s="196" t="s">
        <v>124</v>
      </c>
      <c r="F742" s="284"/>
      <c r="G742" s="288">
        <v>470000</v>
      </c>
      <c r="H742" s="288"/>
      <c r="I742" s="288">
        <v>470000</v>
      </c>
      <c r="J742" s="295"/>
      <c r="K742" s="614">
        <f t="shared" si="24"/>
        <v>470000</v>
      </c>
      <c r="L742" s="614">
        <f t="shared" si="23"/>
        <v>470000</v>
      </c>
    </row>
    <row r="743" spans="1:12" s="587" customFormat="1" ht="30" customHeight="1">
      <c r="A743" s="345" t="s">
        <v>259</v>
      </c>
      <c r="B743" s="329">
        <v>1013</v>
      </c>
      <c r="C743" s="243" t="s">
        <v>487</v>
      </c>
      <c r="D743" s="268" t="s">
        <v>20</v>
      </c>
      <c r="E743" s="298"/>
      <c r="F743" s="284"/>
      <c r="G743" s="295">
        <f>SUBTOTAL(109,G739:G742)</f>
        <v>2256000</v>
      </c>
      <c r="H743" s="295">
        <f>SUBTOTAL(109,H739:H742)</f>
        <v>0</v>
      </c>
      <c r="I743" s="295">
        <f>SUBTOTAL(109,I739:I742)</f>
        <v>2256000</v>
      </c>
      <c r="J743" s="326"/>
      <c r="K743" s="614">
        <f t="shared" si="24"/>
        <v>2256000</v>
      </c>
      <c r="L743" s="614">
        <f t="shared" si="23"/>
        <v>2256000</v>
      </c>
    </row>
    <row r="744" spans="1:12" s="587" customFormat="1" ht="30" customHeight="1">
      <c r="A744" s="345" t="s">
        <v>259</v>
      </c>
      <c r="B744" s="329">
        <v>1014</v>
      </c>
      <c r="C744" s="243" t="s">
        <v>494</v>
      </c>
      <c r="D744" s="269" t="s">
        <v>125</v>
      </c>
      <c r="E744" s="290"/>
      <c r="F744" s="291"/>
      <c r="G744" s="297"/>
      <c r="H744" s="297"/>
      <c r="I744" s="297"/>
      <c r="J744" s="326"/>
      <c r="K744" s="614">
        <f t="shared" si="24"/>
        <v>0</v>
      </c>
      <c r="L744" s="614">
        <f t="shared" si="23"/>
        <v>0</v>
      </c>
    </row>
    <row r="745" spans="1:12" s="587" customFormat="1" ht="30" customHeight="1">
      <c r="A745" s="345" t="s">
        <v>259</v>
      </c>
      <c r="B745" s="329">
        <v>1014</v>
      </c>
      <c r="C745" s="243" t="s">
        <v>494</v>
      </c>
      <c r="D745" s="191">
        <v>6611</v>
      </c>
      <c r="E745" s="196" t="s">
        <v>6</v>
      </c>
      <c r="F745" s="291">
        <v>15</v>
      </c>
      <c r="G745" s="297">
        <v>32386404</v>
      </c>
      <c r="H745" s="297">
        <v>25958532.979999997</v>
      </c>
      <c r="I745" s="297">
        <v>32386404</v>
      </c>
      <c r="J745" s="326"/>
      <c r="K745" s="614">
        <f t="shared" si="24"/>
        <v>32386404</v>
      </c>
      <c r="L745" s="614">
        <f t="shared" si="23"/>
        <v>6427871.020000003</v>
      </c>
    </row>
    <row r="746" spans="1:12" s="587" customFormat="1" ht="30" customHeight="1">
      <c r="A746" s="345" t="s">
        <v>259</v>
      </c>
      <c r="B746" s="329">
        <v>1014</v>
      </c>
      <c r="C746" s="243" t="s">
        <v>494</v>
      </c>
      <c r="D746" s="191">
        <v>60100</v>
      </c>
      <c r="E746" s="196" t="s">
        <v>7</v>
      </c>
      <c r="F746" s="284"/>
      <c r="G746" s="288">
        <v>600000</v>
      </c>
      <c r="H746" s="288"/>
      <c r="I746" s="288">
        <f>600000</f>
        <v>600000</v>
      </c>
      <c r="J746" s="326"/>
      <c r="K746" s="614">
        <f t="shared" si="24"/>
        <v>600000</v>
      </c>
      <c r="L746" s="614">
        <f t="shared" si="23"/>
        <v>600000</v>
      </c>
    </row>
    <row r="747" spans="1:12" s="587" customFormat="1" ht="30" customHeight="1">
      <c r="A747" s="345" t="s">
        <v>259</v>
      </c>
      <c r="B747" s="329">
        <v>1014</v>
      </c>
      <c r="C747" s="243" t="s">
        <v>494</v>
      </c>
      <c r="D747" s="191">
        <v>60101</v>
      </c>
      <c r="E747" s="196" t="s">
        <v>264</v>
      </c>
      <c r="F747" s="284"/>
      <c r="G747" s="288"/>
      <c r="H747" s="288"/>
      <c r="I747" s="288"/>
      <c r="J747" s="295"/>
      <c r="K747" s="614">
        <f t="shared" si="24"/>
        <v>0</v>
      </c>
      <c r="L747" s="614">
        <f t="shared" si="23"/>
        <v>0</v>
      </c>
    </row>
    <row r="748" spans="1:12" s="587" customFormat="1" ht="30" customHeight="1">
      <c r="A748" s="345" t="s">
        <v>259</v>
      </c>
      <c r="B748" s="329">
        <v>1014</v>
      </c>
      <c r="C748" s="243" t="s">
        <v>494</v>
      </c>
      <c r="D748" s="188">
        <v>6122</v>
      </c>
      <c r="E748" s="235" t="s">
        <v>582</v>
      </c>
      <c r="F748" s="96"/>
      <c r="G748" s="288">
        <v>660000</v>
      </c>
      <c r="H748" s="288"/>
      <c r="I748" s="288">
        <f>660000</f>
        <v>660000</v>
      </c>
      <c r="J748" s="326"/>
      <c r="K748" s="614">
        <f t="shared" si="24"/>
        <v>660000</v>
      </c>
      <c r="L748" s="614">
        <f t="shared" si="23"/>
        <v>660000</v>
      </c>
    </row>
    <row r="749" spans="1:12" s="587" customFormat="1" ht="30" customHeight="1">
      <c r="A749" s="345" t="s">
        <v>259</v>
      </c>
      <c r="B749" s="329">
        <v>1014</v>
      </c>
      <c r="C749" s="243" t="s">
        <v>494</v>
      </c>
      <c r="D749" s="268" t="s">
        <v>20</v>
      </c>
      <c r="E749" s="298"/>
      <c r="F749" s="295">
        <f>SUBTOTAL(109,F745:F748)</f>
        <v>15</v>
      </c>
      <c r="G749" s="295">
        <f>SUBTOTAL(109,G745:G748)</f>
        <v>33646404</v>
      </c>
      <c r="H749" s="295">
        <f>SUBTOTAL(109,H745:H748)</f>
        <v>25958532.979999997</v>
      </c>
      <c r="I749" s="295">
        <f>SUBTOTAL(109,I745:I748)</f>
        <v>33646404</v>
      </c>
      <c r="J749" s="326"/>
      <c r="K749" s="614">
        <f t="shared" si="24"/>
        <v>33646404</v>
      </c>
      <c r="L749" s="614">
        <f t="shared" si="23"/>
        <v>7687871.020000003</v>
      </c>
    </row>
    <row r="750" spans="1:12" s="587" customFormat="1" ht="30" customHeight="1">
      <c r="A750" s="345" t="s">
        <v>259</v>
      </c>
      <c r="B750" s="329" t="s">
        <v>666</v>
      </c>
      <c r="C750" s="243" t="s">
        <v>696</v>
      </c>
      <c r="D750" s="269" t="s">
        <v>667</v>
      </c>
      <c r="E750" s="298"/>
      <c r="F750" s="295"/>
      <c r="G750" s="295"/>
      <c r="H750" s="295"/>
      <c r="I750" s="295"/>
      <c r="J750" s="326"/>
      <c r="K750" s="614">
        <f t="shared" si="24"/>
        <v>0</v>
      </c>
      <c r="L750" s="614">
        <f t="shared" si="23"/>
        <v>0</v>
      </c>
    </row>
    <row r="751" spans="1:12" s="587" customFormat="1" ht="30" customHeight="1">
      <c r="A751" s="345" t="s">
        <v>259</v>
      </c>
      <c r="B751" s="329" t="s">
        <v>666</v>
      </c>
      <c r="C751" s="243" t="s">
        <v>696</v>
      </c>
      <c r="D751" s="188">
        <v>6311</v>
      </c>
      <c r="E751" s="235" t="s">
        <v>594</v>
      </c>
      <c r="F751" s="96"/>
      <c r="G751" s="295">
        <v>0</v>
      </c>
      <c r="H751" s="297">
        <v>12500000</v>
      </c>
      <c r="I751" s="297">
        <v>12500000</v>
      </c>
      <c r="J751" s="326"/>
      <c r="K751" s="614">
        <f t="shared" si="24"/>
        <v>12500000</v>
      </c>
      <c r="L751" s="614">
        <f t="shared" si="23"/>
        <v>0</v>
      </c>
    </row>
    <row r="752" spans="1:12" s="587" customFormat="1" ht="30" customHeight="1">
      <c r="A752" s="345" t="s">
        <v>259</v>
      </c>
      <c r="B752" s="329" t="s">
        <v>666</v>
      </c>
      <c r="C752" s="243" t="s">
        <v>696</v>
      </c>
      <c r="D752" s="268" t="s">
        <v>20</v>
      </c>
      <c r="E752" s="298"/>
      <c r="F752" s="295"/>
      <c r="G752" s="295">
        <f>SUBTOTAL(109,G751:G751)</f>
        <v>0</v>
      </c>
      <c r="H752" s="295">
        <f>SUBTOTAL(109,H751:H751)</f>
        <v>12500000</v>
      </c>
      <c r="I752" s="295">
        <f>SUBTOTAL(109,I751:I751)</f>
        <v>12500000</v>
      </c>
      <c r="J752" s="315"/>
      <c r="K752" s="614">
        <f t="shared" si="24"/>
        <v>12500000</v>
      </c>
      <c r="L752" s="614">
        <f t="shared" si="23"/>
        <v>0</v>
      </c>
    </row>
    <row r="753" spans="1:12" s="587" customFormat="1" ht="30" customHeight="1">
      <c r="A753" s="345" t="s">
        <v>259</v>
      </c>
      <c r="B753" s="329">
        <v>1104</v>
      </c>
      <c r="C753" s="243" t="s">
        <v>497</v>
      </c>
      <c r="D753" s="327" t="s">
        <v>128</v>
      </c>
      <c r="E753" s="298"/>
      <c r="F753" s="284"/>
      <c r="G753" s="297"/>
      <c r="H753" s="297"/>
      <c r="I753" s="297"/>
      <c r="J753" s="315"/>
      <c r="K753" s="614">
        <f t="shared" si="24"/>
        <v>0</v>
      </c>
      <c r="L753" s="614">
        <f t="shared" si="23"/>
        <v>0</v>
      </c>
    </row>
    <row r="754" spans="1:12" s="587" customFormat="1" ht="30" customHeight="1">
      <c r="A754" s="345" t="s">
        <v>259</v>
      </c>
      <c r="B754" s="329">
        <v>1104</v>
      </c>
      <c r="C754" s="243" t="s">
        <v>497</v>
      </c>
      <c r="D754" s="191">
        <v>6611</v>
      </c>
      <c r="E754" s="196" t="s">
        <v>6</v>
      </c>
      <c r="F754" s="284">
        <f>12+1</f>
        <v>13</v>
      </c>
      <c r="G754" s="292">
        <v>18004999.56</v>
      </c>
      <c r="H754" s="292">
        <v>29515968.060000006</v>
      </c>
      <c r="I754" s="292">
        <v>18004999.56</v>
      </c>
      <c r="J754" s="98"/>
      <c r="K754" s="614">
        <f t="shared" si="24"/>
        <v>18004999.56</v>
      </c>
      <c r="L754" s="614">
        <f t="shared" si="23"/>
        <v>-11510968.500000007</v>
      </c>
    </row>
    <row r="755" spans="1:12" s="587" customFormat="1" ht="30" customHeight="1">
      <c r="A755" s="345" t="s">
        <v>259</v>
      </c>
      <c r="B755" s="329">
        <v>1104</v>
      </c>
      <c r="C755" s="243" t="s">
        <v>497</v>
      </c>
      <c r="D755" s="191">
        <v>60100</v>
      </c>
      <c r="E755" s="196" t="s">
        <v>7</v>
      </c>
      <c r="F755" s="284"/>
      <c r="G755" s="292">
        <v>564000</v>
      </c>
      <c r="H755" s="292">
        <v>423000</v>
      </c>
      <c r="I755" s="292">
        <v>564000</v>
      </c>
      <c r="J755" s="326"/>
      <c r="K755" s="614">
        <f t="shared" si="24"/>
        <v>564000</v>
      </c>
      <c r="L755" s="614">
        <f t="shared" si="23"/>
        <v>141000</v>
      </c>
    </row>
    <row r="756" spans="1:12" s="587" customFormat="1" ht="30" customHeight="1">
      <c r="A756" s="345" t="s">
        <v>259</v>
      </c>
      <c r="B756" s="329">
        <v>1104</v>
      </c>
      <c r="C756" s="243" t="s">
        <v>497</v>
      </c>
      <c r="D756" s="191">
        <v>60101</v>
      </c>
      <c r="E756" s="196" t="s">
        <v>264</v>
      </c>
      <c r="F756" s="284"/>
      <c r="G756" s="292"/>
      <c r="H756" s="292"/>
      <c r="I756" s="292"/>
      <c r="J756" s="326"/>
      <c r="K756" s="614">
        <f t="shared" si="24"/>
        <v>0</v>
      </c>
      <c r="L756" s="614">
        <f t="shared" si="23"/>
        <v>0</v>
      </c>
    </row>
    <row r="757" spans="1:12" s="587" customFormat="1" ht="30" customHeight="1">
      <c r="A757" s="345" t="s">
        <v>259</v>
      </c>
      <c r="B757" s="329">
        <v>1104</v>
      </c>
      <c r="C757" s="243" t="s">
        <v>497</v>
      </c>
      <c r="D757" s="188">
        <v>6122</v>
      </c>
      <c r="E757" s="235" t="s">
        <v>582</v>
      </c>
      <c r="F757" s="96"/>
      <c r="G757" s="292">
        <v>376000</v>
      </c>
      <c r="H757" s="292">
        <v>281500</v>
      </c>
      <c r="I757" s="292">
        <v>376000</v>
      </c>
      <c r="J757" s="326"/>
      <c r="K757" s="614">
        <f t="shared" si="24"/>
        <v>376000</v>
      </c>
      <c r="L757" s="614">
        <f t="shared" si="23"/>
        <v>94500</v>
      </c>
    </row>
    <row r="758" spans="1:12" s="587" customFormat="1" ht="30" customHeight="1">
      <c r="A758" s="345" t="s">
        <v>259</v>
      </c>
      <c r="B758" s="329">
        <v>1104</v>
      </c>
      <c r="C758" s="243" t="s">
        <v>497</v>
      </c>
      <c r="D758" s="188">
        <v>2121</v>
      </c>
      <c r="E758" s="192" t="s">
        <v>586</v>
      </c>
      <c r="F758" s="253"/>
      <c r="G758" s="292">
        <v>185253283</v>
      </c>
      <c r="H758" s="292"/>
      <c r="I758" s="292">
        <v>185253283</v>
      </c>
      <c r="J758" s="326"/>
      <c r="K758" s="614">
        <f t="shared" si="24"/>
        <v>185253283</v>
      </c>
      <c r="L758" s="614">
        <f t="shared" si="23"/>
        <v>185253283</v>
      </c>
    </row>
    <row r="759" spans="1:12" s="587" customFormat="1" ht="30" customHeight="1">
      <c r="A759" s="345" t="s">
        <v>259</v>
      </c>
      <c r="B759" s="329">
        <v>1104</v>
      </c>
      <c r="C759" s="243" t="s">
        <v>497</v>
      </c>
      <c r="D759" s="268" t="s">
        <v>20</v>
      </c>
      <c r="E759" s="298"/>
      <c r="F759" s="295">
        <f>SUBTOTAL(109,F754:F758)</f>
        <v>13</v>
      </c>
      <c r="G759" s="295">
        <f>SUBTOTAL(109,G754:G758)</f>
        <v>204198282.56</v>
      </c>
      <c r="H759" s="295">
        <f>SUBTOTAL(109,H754:H758)</f>
        <v>30220468.060000006</v>
      </c>
      <c r="I759" s="295">
        <f>SUBTOTAL(109,I754:I758)</f>
        <v>204198282.56</v>
      </c>
      <c r="J759" s="98"/>
      <c r="K759" s="614">
        <f t="shared" si="24"/>
        <v>204198282.56</v>
      </c>
      <c r="L759" s="614">
        <f t="shared" si="23"/>
        <v>173977814.5</v>
      </c>
    </row>
    <row r="760" spans="1:12" s="587" customFormat="1" ht="30" customHeight="1">
      <c r="A760" s="345" t="s">
        <v>259</v>
      </c>
      <c r="B760" s="329">
        <v>1105</v>
      </c>
      <c r="C760" s="243" t="s">
        <v>496</v>
      </c>
      <c r="D760" s="269" t="s">
        <v>220</v>
      </c>
      <c r="E760" s="251"/>
      <c r="F760" s="226"/>
      <c r="G760" s="292"/>
      <c r="H760" s="292"/>
      <c r="I760" s="292"/>
      <c r="J760" s="326"/>
      <c r="K760" s="614">
        <f t="shared" si="24"/>
        <v>0</v>
      </c>
      <c r="L760" s="614">
        <f t="shared" si="23"/>
        <v>0</v>
      </c>
    </row>
    <row r="761" spans="1:12" s="587" customFormat="1" ht="30" customHeight="1">
      <c r="A761" s="345" t="s">
        <v>259</v>
      </c>
      <c r="B761" s="329">
        <v>1105</v>
      </c>
      <c r="C761" s="243" t="s">
        <v>496</v>
      </c>
      <c r="D761" s="191">
        <v>6611</v>
      </c>
      <c r="E761" s="196" t="s">
        <v>6</v>
      </c>
      <c r="F761" s="226">
        <v>16</v>
      </c>
      <c r="G761" s="292">
        <v>23290400</v>
      </c>
      <c r="H761" s="292">
        <v>20161866.400000002</v>
      </c>
      <c r="I761" s="292">
        <v>23290400</v>
      </c>
      <c r="J761" s="326"/>
      <c r="K761" s="614">
        <f t="shared" si="24"/>
        <v>23290400</v>
      </c>
      <c r="L761" s="614">
        <f t="shared" si="23"/>
        <v>3128533.5999999978</v>
      </c>
    </row>
    <row r="762" spans="1:12" s="587" customFormat="1" ht="30" customHeight="1">
      <c r="A762" s="345" t="s">
        <v>259</v>
      </c>
      <c r="B762" s="329">
        <v>1105</v>
      </c>
      <c r="C762" s="243" t="s">
        <v>496</v>
      </c>
      <c r="D762" s="191">
        <v>60100</v>
      </c>
      <c r="E762" s="196" t="s">
        <v>7</v>
      </c>
      <c r="F762" s="226"/>
      <c r="G762" s="292">
        <v>564000</v>
      </c>
      <c r="H762" s="292">
        <v>423000</v>
      </c>
      <c r="I762" s="292">
        <v>564000</v>
      </c>
      <c r="J762" s="326"/>
      <c r="K762" s="614">
        <f t="shared" si="24"/>
        <v>564000</v>
      </c>
      <c r="L762" s="614">
        <f t="shared" si="23"/>
        <v>141000</v>
      </c>
    </row>
    <row r="763" spans="1:12" s="587" customFormat="1" ht="30" customHeight="1">
      <c r="A763" s="345" t="s">
        <v>259</v>
      </c>
      <c r="B763" s="329">
        <v>1105</v>
      </c>
      <c r="C763" s="243" t="s">
        <v>496</v>
      </c>
      <c r="D763" s="188">
        <v>6122</v>
      </c>
      <c r="E763" s="235" t="s">
        <v>582</v>
      </c>
      <c r="F763" s="253"/>
      <c r="G763" s="292">
        <v>376000</v>
      </c>
      <c r="H763" s="292">
        <v>281500</v>
      </c>
      <c r="I763" s="292">
        <v>376000</v>
      </c>
      <c r="J763" s="326"/>
      <c r="K763" s="614">
        <f t="shared" si="24"/>
        <v>376000</v>
      </c>
      <c r="L763" s="614">
        <f t="shared" si="23"/>
        <v>94500</v>
      </c>
    </row>
    <row r="764" spans="1:12" s="587" customFormat="1" ht="30" customHeight="1">
      <c r="A764" s="345" t="s">
        <v>259</v>
      </c>
      <c r="B764" s="329">
        <v>1105</v>
      </c>
      <c r="C764" s="243" t="s">
        <v>496</v>
      </c>
      <c r="D764" s="210">
        <v>21411</v>
      </c>
      <c r="E764" s="262" t="s">
        <v>185</v>
      </c>
      <c r="F764" s="253"/>
      <c r="G764" s="292">
        <v>1095823840</v>
      </c>
      <c r="H764" s="292">
        <f>225000000+105000000</f>
        <v>330000000</v>
      </c>
      <c r="I764" s="292">
        <v>1095823840</v>
      </c>
      <c r="J764" s="98"/>
      <c r="K764" s="614">
        <f t="shared" si="24"/>
        <v>1095823840</v>
      </c>
      <c r="L764" s="614">
        <f t="shared" si="23"/>
        <v>765823840</v>
      </c>
    </row>
    <row r="765" spans="1:12" s="587" customFormat="1" ht="30" customHeight="1">
      <c r="A765" s="345" t="s">
        <v>259</v>
      </c>
      <c r="B765" s="329">
        <v>1105</v>
      </c>
      <c r="C765" s="243" t="s">
        <v>496</v>
      </c>
      <c r="D765" s="210">
        <v>21412</v>
      </c>
      <c r="E765" s="262" t="s">
        <v>651</v>
      </c>
      <c r="F765" s="253"/>
      <c r="G765" s="292">
        <v>500000000</v>
      </c>
      <c r="H765" s="351"/>
      <c r="I765" s="292">
        <v>500000000</v>
      </c>
      <c r="J765" s="295"/>
      <c r="K765" s="614">
        <f t="shared" si="24"/>
        <v>500000000</v>
      </c>
      <c r="L765" s="614">
        <f t="shared" si="23"/>
        <v>500000000</v>
      </c>
    </row>
    <row r="766" spans="1:12" s="587" customFormat="1" ht="30" customHeight="1">
      <c r="A766" s="345" t="s">
        <v>259</v>
      </c>
      <c r="B766" s="329">
        <v>1105</v>
      </c>
      <c r="C766" s="243" t="s">
        <v>496</v>
      </c>
      <c r="D766" s="268" t="s">
        <v>20</v>
      </c>
      <c r="E766" s="251"/>
      <c r="F766" s="98">
        <f>SUBTOTAL(109,F761:F763)</f>
        <v>16</v>
      </c>
      <c r="G766" s="98">
        <f>SUBTOTAL(109,G761:G765)</f>
        <v>1620054240</v>
      </c>
      <c r="H766" s="98">
        <f>SUBTOTAL(109,H761:H764)</f>
        <v>350866366.4</v>
      </c>
      <c r="I766" s="98">
        <f>SUBTOTAL(109,I761:I765)</f>
        <v>1620054240</v>
      </c>
      <c r="J766" s="326"/>
      <c r="K766" s="614">
        <f t="shared" si="24"/>
        <v>1620054240</v>
      </c>
      <c r="L766" s="614">
        <f t="shared" si="23"/>
        <v>1269187873.6</v>
      </c>
    </row>
    <row r="767" spans="1:12" s="587" customFormat="1" ht="30" customHeight="1">
      <c r="A767" s="345" t="s">
        <v>259</v>
      </c>
      <c r="B767" s="329">
        <v>1106</v>
      </c>
      <c r="C767" s="243" t="s">
        <v>498</v>
      </c>
      <c r="D767" s="249" t="s">
        <v>221</v>
      </c>
      <c r="E767" s="293"/>
      <c r="F767" s="272"/>
      <c r="G767" s="292"/>
      <c r="H767" s="292"/>
      <c r="I767" s="292"/>
      <c r="J767" s="326"/>
      <c r="K767" s="614">
        <f t="shared" si="24"/>
        <v>0</v>
      </c>
      <c r="L767" s="614">
        <f t="shared" si="23"/>
        <v>0</v>
      </c>
    </row>
    <row r="768" spans="1:12" s="587" customFormat="1" ht="30" customHeight="1">
      <c r="A768" s="345" t="s">
        <v>259</v>
      </c>
      <c r="B768" s="329">
        <v>1106</v>
      </c>
      <c r="C768" s="243" t="s">
        <v>498</v>
      </c>
      <c r="D768" s="188">
        <v>6611</v>
      </c>
      <c r="E768" s="196" t="s">
        <v>6</v>
      </c>
      <c r="F768" s="226">
        <v>7</v>
      </c>
      <c r="G768" s="292">
        <v>11249600</v>
      </c>
      <c r="H768" s="351"/>
      <c r="I768" s="292">
        <v>11249600</v>
      </c>
      <c r="J768" s="326"/>
      <c r="K768" s="614">
        <f t="shared" si="24"/>
        <v>11249600</v>
      </c>
      <c r="L768" s="614">
        <f t="shared" si="23"/>
        <v>11249600</v>
      </c>
    </row>
    <row r="769" spans="1:12" s="587" customFormat="1" ht="30" customHeight="1">
      <c r="A769" s="345" t="s">
        <v>259</v>
      </c>
      <c r="B769" s="329">
        <v>1106</v>
      </c>
      <c r="C769" s="243" t="s">
        <v>498</v>
      </c>
      <c r="D769" s="191">
        <v>60100</v>
      </c>
      <c r="E769" s="196" t="s">
        <v>7</v>
      </c>
      <c r="F769" s="226"/>
      <c r="G769" s="292">
        <v>470000</v>
      </c>
      <c r="H769" s="292">
        <v>117500</v>
      </c>
      <c r="I769" s="292">
        <v>470000</v>
      </c>
      <c r="J769" s="326"/>
      <c r="K769" s="614">
        <f t="shared" si="24"/>
        <v>470000</v>
      </c>
      <c r="L769" s="614">
        <f t="shared" si="23"/>
        <v>352500</v>
      </c>
    </row>
    <row r="770" spans="1:12" s="587" customFormat="1" ht="30" customHeight="1">
      <c r="A770" s="345" t="s">
        <v>259</v>
      </c>
      <c r="B770" s="329">
        <v>1106</v>
      </c>
      <c r="C770" s="243" t="s">
        <v>498</v>
      </c>
      <c r="D770" s="188">
        <v>6122</v>
      </c>
      <c r="E770" s="235" t="s">
        <v>582</v>
      </c>
      <c r="F770" s="253"/>
      <c r="G770" s="292">
        <v>376000</v>
      </c>
      <c r="H770" s="292"/>
      <c r="I770" s="292">
        <v>376000</v>
      </c>
      <c r="J770" s="295"/>
      <c r="K770" s="614">
        <f t="shared" si="24"/>
        <v>376000</v>
      </c>
      <c r="L770" s="614">
        <f t="shared" si="23"/>
        <v>376000</v>
      </c>
    </row>
    <row r="771" spans="1:12" s="587" customFormat="1" ht="30" customHeight="1">
      <c r="A771" s="345" t="s">
        <v>259</v>
      </c>
      <c r="B771" s="329">
        <v>1106</v>
      </c>
      <c r="C771" s="243" t="s">
        <v>498</v>
      </c>
      <c r="D771" s="268" t="s">
        <v>20</v>
      </c>
      <c r="E771" s="251"/>
      <c r="F771" s="98">
        <f>SUBTOTAL(109,F768:F770)</f>
        <v>7</v>
      </c>
      <c r="G771" s="98">
        <f>SUBTOTAL(109,G768:G770)</f>
        <v>12095600</v>
      </c>
      <c r="H771" s="98">
        <f>SUBTOTAL(109,H769:H770)</f>
        <v>117500</v>
      </c>
      <c r="I771" s="98">
        <f>SUBTOTAL(109,I768:I770)</f>
        <v>12095600</v>
      </c>
      <c r="J771" s="326"/>
      <c r="K771" s="614">
        <f t="shared" si="24"/>
        <v>12095600</v>
      </c>
      <c r="L771" s="614">
        <f t="shared" si="23"/>
        <v>11978100</v>
      </c>
    </row>
    <row r="772" spans="1:12" s="587" customFormat="1" ht="30" customHeight="1">
      <c r="A772" s="345" t="s">
        <v>259</v>
      </c>
      <c r="B772" s="329">
        <v>1107</v>
      </c>
      <c r="C772" s="243" t="s">
        <v>392</v>
      </c>
      <c r="D772" s="269" t="s">
        <v>129</v>
      </c>
      <c r="E772" s="251"/>
      <c r="F772" s="226"/>
      <c r="G772" s="292"/>
      <c r="H772" s="292"/>
      <c r="I772" s="292"/>
      <c r="J772" s="326"/>
      <c r="K772" s="614">
        <f t="shared" si="24"/>
        <v>0</v>
      </c>
      <c r="L772" s="614">
        <f t="shared" si="23"/>
        <v>0</v>
      </c>
    </row>
    <row r="773" spans="1:12" s="587" customFormat="1" ht="30" customHeight="1">
      <c r="A773" s="345" t="s">
        <v>259</v>
      </c>
      <c r="B773" s="329">
        <v>1107</v>
      </c>
      <c r="C773" s="243" t="s">
        <v>392</v>
      </c>
      <c r="D773" s="188">
        <v>6611</v>
      </c>
      <c r="E773" s="196" t="s">
        <v>6</v>
      </c>
      <c r="F773" s="226">
        <v>6</v>
      </c>
      <c r="G773" s="292">
        <v>9915200</v>
      </c>
      <c r="H773" s="351"/>
      <c r="I773" s="292">
        <v>9915200</v>
      </c>
      <c r="J773" s="98"/>
      <c r="K773" s="614">
        <f t="shared" si="24"/>
        <v>9915200</v>
      </c>
      <c r="L773" s="614">
        <f t="shared" si="23"/>
        <v>9915200</v>
      </c>
    </row>
    <row r="774" spans="1:12" s="587" customFormat="1" ht="30" customHeight="1">
      <c r="A774" s="345" t="s">
        <v>259</v>
      </c>
      <c r="B774" s="329">
        <v>1107</v>
      </c>
      <c r="C774" s="243" t="s">
        <v>392</v>
      </c>
      <c r="D774" s="191">
        <v>60100</v>
      </c>
      <c r="E774" s="196" t="s">
        <v>7</v>
      </c>
      <c r="F774" s="226"/>
      <c r="G774" s="292">
        <v>500000</v>
      </c>
      <c r="H774" s="292">
        <v>375000</v>
      </c>
      <c r="I774" s="292">
        <v>500000</v>
      </c>
      <c r="J774" s="326"/>
      <c r="K774" s="614">
        <f t="shared" si="24"/>
        <v>500000</v>
      </c>
      <c r="L774" s="614">
        <f t="shared" si="23"/>
        <v>125000</v>
      </c>
    </row>
    <row r="775" spans="1:12" s="587" customFormat="1" ht="30" customHeight="1">
      <c r="A775" s="345" t="s">
        <v>259</v>
      </c>
      <c r="B775" s="329">
        <v>1107</v>
      </c>
      <c r="C775" s="243" t="s">
        <v>392</v>
      </c>
      <c r="D775" s="188">
        <v>6122</v>
      </c>
      <c r="E775" s="235" t="s">
        <v>582</v>
      </c>
      <c r="F775" s="253"/>
      <c r="G775" s="292"/>
      <c r="H775" s="292"/>
      <c r="I775" s="292"/>
      <c r="J775" s="326"/>
      <c r="K775" s="614">
        <f t="shared" si="24"/>
        <v>0</v>
      </c>
      <c r="L775" s="614">
        <f aca="true" t="shared" si="25" ref="L775:L838">K775-H775</f>
        <v>0</v>
      </c>
    </row>
    <row r="776" spans="1:12" s="587" customFormat="1" ht="30" customHeight="1">
      <c r="A776" s="345" t="s">
        <v>259</v>
      </c>
      <c r="B776" s="329">
        <v>1107</v>
      </c>
      <c r="C776" s="243" t="s">
        <v>392</v>
      </c>
      <c r="D776" s="268" t="s">
        <v>20</v>
      </c>
      <c r="E776" s="251"/>
      <c r="F776" s="98">
        <f>SUBTOTAL(109,F773:F775)</f>
        <v>6</v>
      </c>
      <c r="G776" s="98">
        <f>SUBTOTAL(109,G773:G775)</f>
        <v>10415200</v>
      </c>
      <c r="H776" s="98">
        <f>SUBTOTAL(109,H774:H775)</f>
        <v>375000</v>
      </c>
      <c r="I776" s="98">
        <f>SUBTOTAL(109,I773:I775)</f>
        <v>10415200</v>
      </c>
      <c r="J776" s="326"/>
      <c r="K776" s="614">
        <f t="shared" si="24"/>
        <v>10415200</v>
      </c>
      <c r="L776" s="614">
        <f t="shared" si="25"/>
        <v>10040200</v>
      </c>
    </row>
    <row r="777" spans="1:12" s="587" customFormat="1" ht="30" customHeight="1">
      <c r="A777" s="345" t="s">
        <v>259</v>
      </c>
      <c r="B777" s="602" t="s">
        <v>72</v>
      </c>
      <c r="C777" s="243"/>
      <c r="D777" s="191"/>
      <c r="E777" s="298"/>
      <c r="F777" s="295">
        <f>F776+F771+F766+F759+F749+F743+F737+F730+F727+F716+F709+F703+F696</f>
        <v>162</v>
      </c>
      <c r="G777" s="295">
        <f>G776+G771+G766+G759+G752+G749+G743+G737+G730+G727+G716+G709+G703+G696</f>
        <v>4779199489.78</v>
      </c>
      <c r="H777" s="295">
        <f>H776+H771+H766+H759+H752+H749+H743+H737+H730+H727+H716+H709+H703+H696</f>
        <v>622034224.64</v>
      </c>
      <c r="I777" s="295">
        <f>I776+I771+I766+I759+I752+I749+I743+I737+I730+I727+I716+I709+I703+I696</f>
        <v>2791699489.7799997</v>
      </c>
      <c r="J777" s="610">
        <f>J776+J771+J766+J759+J752+J749+J743+J737+J730+J727+J716+J709+J703+J696</f>
        <v>-410000000</v>
      </c>
      <c r="K777" s="614">
        <f t="shared" si="24"/>
        <v>2381699489.7799997</v>
      </c>
      <c r="L777" s="614">
        <f t="shared" si="25"/>
        <v>1759665265.1399999</v>
      </c>
    </row>
    <row r="778" spans="1:12" ht="30" customHeight="1">
      <c r="A778" s="266" t="s">
        <v>108</v>
      </c>
      <c r="B778" s="331" t="s">
        <v>536</v>
      </c>
      <c r="C778" s="243"/>
      <c r="D778" s="188"/>
      <c r="E778" s="226"/>
      <c r="F778" s="226"/>
      <c r="G778" s="242"/>
      <c r="H778" s="242"/>
      <c r="I778" s="242"/>
      <c r="J778" s="326"/>
      <c r="K778" s="614">
        <f t="shared" si="24"/>
        <v>0</v>
      </c>
      <c r="L778" s="614">
        <f t="shared" si="25"/>
        <v>0</v>
      </c>
    </row>
    <row r="779" spans="1:12" ht="30" customHeight="1">
      <c r="A779" s="266" t="s">
        <v>108</v>
      </c>
      <c r="B779" s="329">
        <v>1101</v>
      </c>
      <c r="C779" s="243" t="s">
        <v>361</v>
      </c>
      <c r="D779" s="195" t="s">
        <v>537</v>
      </c>
      <c r="E779" s="226"/>
      <c r="F779" s="226"/>
      <c r="G779" s="242"/>
      <c r="H779" s="242"/>
      <c r="I779" s="242"/>
      <c r="J779" s="326"/>
      <c r="K779" s="614">
        <f t="shared" si="24"/>
        <v>0</v>
      </c>
      <c r="L779" s="614">
        <f t="shared" si="25"/>
        <v>0</v>
      </c>
    </row>
    <row r="780" spans="1:12" ht="30" customHeight="1">
      <c r="A780" s="266" t="s">
        <v>108</v>
      </c>
      <c r="B780" s="329">
        <v>1101</v>
      </c>
      <c r="C780" s="243" t="s">
        <v>361</v>
      </c>
      <c r="D780" s="191">
        <v>6611</v>
      </c>
      <c r="E780" s="196" t="s">
        <v>6</v>
      </c>
      <c r="F780" s="226">
        <f>10+6</f>
        <v>16</v>
      </c>
      <c r="G780" s="294">
        <v>24380004</v>
      </c>
      <c r="H780" s="294">
        <f>69664800.23+15038399+13180333</f>
        <v>97883532.23</v>
      </c>
      <c r="I780" s="294">
        <v>24380004</v>
      </c>
      <c r="J780" s="326"/>
      <c r="K780" s="614">
        <f t="shared" si="24"/>
        <v>24380004</v>
      </c>
      <c r="L780" s="614">
        <f t="shared" si="25"/>
        <v>-73503528.23</v>
      </c>
    </row>
    <row r="781" spans="1:12" ht="30" customHeight="1">
      <c r="A781" s="266" t="s">
        <v>108</v>
      </c>
      <c r="B781" s="329">
        <v>1101</v>
      </c>
      <c r="C781" s="243" t="s">
        <v>361</v>
      </c>
      <c r="D781" s="191">
        <v>60100</v>
      </c>
      <c r="E781" s="196" t="s">
        <v>7</v>
      </c>
      <c r="F781" s="226"/>
      <c r="G781" s="292">
        <v>846000</v>
      </c>
      <c r="H781" s="292">
        <v>200000</v>
      </c>
      <c r="I781" s="292">
        <v>846000</v>
      </c>
      <c r="J781" s="326"/>
      <c r="K781" s="614">
        <f aca="true" t="shared" si="26" ref="K781:K844">I781+J781</f>
        <v>846000</v>
      </c>
      <c r="L781" s="614">
        <f t="shared" si="25"/>
        <v>646000</v>
      </c>
    </row>
    <row r="782" spans="1:12" ht="30" customHeight="1">
      <c r="A782" s="266" t="s">
        <v>108</v>
      </c>
      <c r="B782" s="329">
        <v>1101</v>
      </c>
      <c r="C782" s="243" t="s">
        <v>361</v>
      </c>
      <c r="D782" s="188">
        <v>6122</v>
      </c>
      <c r="E782" s="235" t="s">
        <v>582</v>
      </c>
      <c r="F782" s="253"/>
      <c r="G782" s="292">
        <v>517000</v>
      </c>
      <c r="H782" s="294">
        <v>129000</v>
      </c>
      <c r="I782" s="292">
        <v>517000</v>
      </c>
      <c r="J782" s="326"/>
      <c r="K782" s="614">
        <f t="shared" si="26"/>
        <v>517000</v>
      </c>
      <c r="L782" s="614">
        <f t="shared" si="25"/>
        <v>388000</v>
      </c>
    </row>
    <row r="783" spans="1:12" ht="30" customHeight="1">
      <c r="A783" s="266" t="s">
        <v>108</v>
      </c>
      <c r="B783" s="329">
        <v>1101</v>
      </c>
      <c r="C783" s="243" t="s">
        <v>361</v>
      </c>
      <c r="D783" s="191">
        <v>6175</v>
      </c>
      <c r="E783" s="262" t="s">
        <v>13</v>
      </c>
      <c r="F783" s="253"/>
      <c r="G783" s="292">
        <v>1300000</v>
      </c>
      <c r="H783" s="294">
        <v>325000</v>
      </c>
      <c r="I783" s="292">
        <v>1300000</v>
      </c>
      <c r="J783" s="315"/>
      <c r="K783" s="614">
        <f t="shared" si="26"/>
        <v>1300000</v>
      </c>
      <c r="L783" s="614">
        <f t="shared" si="25"/>
        <v>975000</v>
      </c>
    </row>
    <row r="784" spans="1:12" ht="30" customHeight="1">
      <c r="A784" s="266" t="s">
        <v>108</v>
      </c>
      <c r="B784" s="329">
        <v>1101</v>
      </c>
      <c r="C784" s="243" t="s">
        <v>361</v>
      </c>
      <c r="D784" s="191">
        <v>2171</v>
      </c>
      <c r="E784" s="262" t="s">
        <v>284</v>
      </c>
      <c r="F784" s="253"/>
      <c r="G784" s="292"/>
      <c r="H784" s="338"/>
      <c r="I784" s="292"/>
      <c r="J784" s="323"/>
      <c r="K784" s="614">
        <f t="shared" si="26"/>
        <v>0</v>
      </c>
      <c r="L784" s="614">
        <f t="shared" si="25"/>
        <v>0</v>
      </c>
    </row>
    <row r="785" spans="1:12" ht="30" customHeight="1">
      <c r="A785" s="266" t="s">
        <v>108</v>
      </c>
      <c r="B785" s="329">
        <v>1101</v>
      </c>
      <c r="C785" s="243" t="s">
        <v>361</v>
      </c>
      <c r="D785" s="268" t="s">
        <v>20</v>
      </c>
      <c r="E785" s="251"/>
      <c r="F785" s="98">
        <f>SUBTOTAL(109,F780:F783)</f>
        <v>16</v>
      </c>
      <c r="G785" s="98">
        <f>SUBTOTAL(109,G780:G783)</f>
        <v>27043004</v>
      </c>
      <c r="H785" s="98">
        <f>SUBTOTAL(109,H780:H783)</f>
        <v>98537532.23</v>
      </c>
      <c r="I785" s="98">
        <f>SUBTOTAL(109,I780:I784)</f>
        <v>27043004</v>
      </c>
      <c r="J785" s="581">
        <f>SUBTOTAL(109,J780:J784)</f>
        <v>0</v>
      </c>
      <c r="K785" s="614">
        <f t="shared" si="26"/>
        <v>27043004</v>
      </c>
      <c r="L785" s="614">
        <f t="shared" si="25"/>
        <v>-71494528.23</v>
      </c>
    </row>
    <row r="786" spans="1:12" ht="30" customHeight="1">
      <c r="A786" s="266" t="s">
        <v>108</v>
      </c>
      <c r="B786" s="329">
        <v>1102</v>
      </c>
      <c r="C786" s="243" t="s">
        <v>361</v>
      </c>
      <c r="D786" s="269" t="s">
        <v>66</v>
      </c>
      <c r="E786" s="226"/>
      <c r="F786" s="226"/>
      <c r="G786" s="98"/>
      <c r="H786" s="267"/>
      <c r="I786" s="267"/>
      <c r="J786" s="315"/>
      <c r="K786" s="614">
        <f t="shared" si="26"/>
        <v>0</v>
      </c>
      <c r="L786" s="614">
        <f t="shared" si="25"/>
        <v>0</v>
      </c>
    </row>
    <row r="787" spans="1:12" ht="30" customHeight="1">
      <c r="A787" s="266" t="s">
        <v>108</v>
      </c>
      <c r="B787" s="329">
        <v>1102</v>
      </c>
      <c r="C787" s="243" t="s">
        <v>361</v>
      </c>
      <c r="D787" s="191">
        <v>6611</v>
      </c>
      <c r="E787" s="192" t="s">
        <v>6</v>
      </c>
      <c r="F787" s="226">
        <v>8</v>
      </c>
      <c r="G787" s="294">
        <v>26520800</v>
      </c>
      <c r="H787" s="294">
        <f>7175999.88+529333</f>
        <v>7705332.88</v>
      </c>
      <c r="I787" s="294">
        <v>26520800</v>
      </c>
      <c r="J787" s="292"/>
      <c r="K787" s="614">
        <f t="shared" si="26"/>
        <v>26520800</v>
      </c>
      <c r="L787" s="614">
        <f t="shared" si="25"/>
        <v>18815467.12</v>
      </c>
    </row>
    <row r="788" spans="1:12" ht="30" customHeight="1">
      <c r="A788" s="266" t="s">
        <v>108</v>
      </c>
      <c r="B788" s="329">
        <v>1102</v>
      </c>
      <c r="C788" s="243" t="s">
        <v>361</v>
      </c>
      <c r="D788" s="188">
        <v>60100</v>
      </c>
      <c r="E788" s="192" t="s">
        <v>7</v>
      </c>
      <c r="F788" s="226"/>
      <c r="G788" s="294">
        <v>1000000</v>
      </c>
      <c r="H788" s="294"/>
      <c r="I788" s="294">
        <v>1000000</v>
      </c>
      <c r="J788" s="326"/>
      <c r="K788" s="614">
        <f t="shared" si="26"/>
        <v>1000000</v>
      </c>
      <c r="L788" s="614">
        <f t="shared" si="25"/>
        <v>1000000</v>
      </c>
    </row>
    <row r="789" spans="1:12" ht="30" customHeight="1">
      <c r="A789" s="266" t="s">
        <v>108</v>
      </c>
      <c r="B789" s="329">
        <v>1102</v>
      </c>
      <c r="C789" s="243" t="s">
        <v>361</v>
      </c>
      <c r="D789" s="191">
        <v>60101</v>
      </c>
      <c r="E789" s="192" t="s">
        <v>255</v>
      </c>
      <c r="F789" s="226"/>
      <c r="G789" s="294"/>
      <c r="H789" s="294"/>
      <c r="I789" s="294"/>
      <c r="J789" s="326"/>
      <c r="K789" s="614">
        <f t="shared" si="26"/>
        <v>0</v>
      </c>
      <c r="L789" s="614">
        <f t="shared" si="25"/>
        <v>0</v>
      </c>
    </row>
    <row r="790" spans="1:12" ht="30" customHeight="1">
      <c r="A790" s="266" t="s">
        <v>108</v>
      </c>
      <c r="B790" s="329">
        <v>1102</v>
      </c>
      <c r="C790" s="243" t="s">
        <v>361</v>
      </c>
      <c r="D790" s="188">
        <v>6122</v>
      </c>
      <c r="E790" s="235" t="s">
        <v>582</v>
      </c>
      <c r="F790" s="226"/>
      <c r="G790" s="294">
        <v>800000</v>
      </c>
      <c r="H790" s="294">
        <v>200000</v>
      </c>
      <c r="I790" s="294">
        <v>800000</v>
      </c>
      <c r="J790" s="98"/>
      <c r="K790" s="614">
        <f t="shared" si="26"/>
        <v>800000</v>
      </c>
      <c r="L790" s="614">
        <f t="shared" si="25"/>
        <v>600000</v>
      </c>
    </row>
    <row r="791" spans="1:12" ht="30" customHeight="1">
      <c r="A791" s="266" t="s">
        <v>108</v>
      </c>
      <c r="B791" s="329">
        <v>1102</v>
      </c>
      <c r="C791" s="243" t="s">
        <v>361</v>
      </c>
      <c r="D791" s="188">
        <v>6143</v>
      </c>
      <c r="E791" s="192" t="s">
        <v>287</v>
      </c>
      <c r="F791" s="226"/>
      <c r="G791" s="294"/>
      <c r="H791" s="294"/>
      <c r="I791" s="294"/>
      <c r="J791" s="326"/>
      <c r="K791" s="614">
        <f t="shared" si="26"/>
        <v>0</v>
      </c>
      <c r="L791" s="614">
        <f t="shared" si="25"/>
        <v>0</v>
      </c>
    </row>
    <row r="792" spans="1:12" ht="30" customHeight="1">
      <c r="A792" s="266" t="s">
        <v>108</v>
      </c>
      <c r="B792" s="329">
        <v>1102</v>
      </c>
      <c r="C792" s="243" t="s">
        <v>361</v>
      </c>
      <c r="D792" s="188">
        <v>6175</v>
      </c>
      <c r="E792" s="194" t="s">
        <v>13</v>
      </c>
      <c r="F792" s="253"/>
      <c r="G792" s="294"/>
      <c r="H792" s="294"/>
      <c r="I792" s="294"/>
      <c r="J792" s="326"/>
      <c r="K792" s="614">
        <f t="shared" si="26"/>
        <v>0</v>
      </c>
      <c r="L792" s="614">
        <f t="shared" si="25"/>
        <v>0</v>
      </c>
    </row>
    <row r="793" spans="1:12" ht="30" customHeight="1">
      <c r="A793" s="266" t="s">
        <v>108</v>
      </c>
      <c r="B793" s="329">
        <v>1102</v>
      </c>
      <c r="C793" s="243" t="s">
        <v>361</v>
      </c>
      <c r="D793" s="188">
        <v>6433</v>
      </c>
      <c r="E793" s="194" t="s">
        <v>42</v>
      </c>
      <c r="F793" s="253"/>
      <c r="G793" s="294"/>
      <c r="H793" s="294"/>
      <c r="I793" s="294"/>
      <c r="J793" s="326"/>
      <c r="K793" s="614">
        <f t="shared" si="26"/>
        <v>0</v>
      </c>
      <c r="L793" s="614">
        <f t="shared" si="25"/>
        <v>0</v>
      </c>
    </row>
    <row r="794" spans="1:12" ht="30" customHeight="1">
      <c r="A794" s="266" t="s">
        <v>108</v>
      </c>
      <c r="B794" s="329">
        <v>1102</v>
      </c>
      <c r="C794" s="243" t="s">
        <v>361</v>
      </c>
      <c r="D794" s="191">
        <v>2171</v>
      </c>
      <c r="E794" s="194" t="s">
        <v>284</v>
      </c>
      <c r="F794" s="253"/>
      <c r="G794" s="294">
        <v>9000000</v>
      </c>
      <c r="H794" s="294"/>
      <c r="I794" s="294">
        <v>9000000</v>
      </c>
      <c r="J794" s="326"/>
      <c r="K794" s="614">
        <f t="shared" si="26"/>
        <v>9000000</v>
      </c>
      <c r="L794" s="614">
        <f t="shared" si="25"/>
        <v>9000000</v>
      </c>
    </row>
    <row r="795" spans="1:12" ht="30" customHeight="1">
      <c r="A795" s="266" t="s">
        <v>108</v>
      </c>
      <c r="B795" s="329">
        <v>1102</v>
      </c>
      <c r="C795" s="243" t="s">
        <v>361</v>
      </c>
      <c r="D795" s="188">
        <v>2124</v>
      </c>
      <c r="E795" s="194" t="s">
        <v>578</v>
      </c>
      <c r="F795" s="253"/>
      <c r="G795" s="98"/>
      <c r="H795" s="267"/>
      <c r="I795" s="267"/>
      <c r="J795" s="326"/>
      <c r="K795" s="614">
        <f t="shared" si="26"/>
        <v>0</v>
      </c>
      <c r="L795" s="614">
        <f t="shared" si="25"/>
        <v>0</v>
      </c>
    </row>
    <row r="796" spans="1:12" ht="30" customHeight="1">
      <c r="A796" s="266" t="s">
        <v>108</v>
      </c>
      <c r="B796" s="329">
        <v>1102</v>
      </c>
      <c r="C796" s="243" t="s">
        <v>361</v>
      </c>
      <c r="D796" s="257" t="s">
        <v>20</v>
      </c>
      <c r="E796" s="226"/>
      <c r="F796" s="323">
        <f>SUBTOTAL(109,F787:F793)</f>
        <v>8</v>
      </c>
      <c r="G796" s="98">
        <f>SUBTOTAL(109,G787:G795)</f>
        <v>37320800</v>
      </c>
      <c r="H796" s="98">
        <f>SUBTOTAL(109,H787:H795)</f>
        <v>7905332.88</v>
      </c>
      <c r="I796" s="98">
        <f>SUBTOTAL(109,I787:I795)</f>
        <v>37320800</v>
      </c>
      <c r="J796" s="581">
        <f>SUBTOTAL(109,J787:J795)</f>
        <v>0</v>
      </c>
      <c r="K796" s="614">
        <f t="shared" si="26"/>
        <v>37320800</v>
      </c>
      <c r="L796" s="614">
        <f t="shared" si="25"/>
        <v>29415467.12</v>
      </c>
    </row>
    <row r="797" spans="1:12" ht="30" customHeight="1">
      <c r="A797" s="266" t="s">
        <v>108</v>
      </c>
      <c r="B797" s="329">
        <v>1103</v>
      </c>
      <c r="C797" s="243" t="s">
        <v>486</v>
      </c>
      <c r="D797" s="249" t="s">
        <v>541</v>
      </c>
      <c r="E797" s="251"/>
      <c r="F797" s="226"/>
      <c r="G797" s="242"/>
      <c r="H797" s="242"/>
      <c r="I797" s="242"/>
      <c r="J797" s="98"/>
      <c r="K797" s="614">
        <f t="shared" si="26"/>
        <v>0</v>
      </c>
      <c r="L797" s="614">
        <f t="shared" si="25"/>
        <v>0</v>
      </c>
    </row>
    <row r="798" spans="1:12" ht="30" customHeight="1">
      <c r="A798" s="241" t="s">
        <v>108</v>
      </c>
      <c r="B798" s="329">
        <v>1103</v>
      </c>
      <c r="C798" s="243" t="s">
        <v>486</v>
      </c>
      <c r="D798" s="188">
        <v>6611</v>
      </c>
      <c r="E798" s="196" t="s">
        <v>6</v>
      </c>
      <c r="F798" s="226"/>
      <c r="G798" s="242">
        <v>12432396</v>
      </c>
      <c r="H798" s="267">
        <v>11250567.32</v>
      </c>
      <c r="I798" s="242">
        <v>12432396</v>
      </c>
      <c r="J798" s="326"/>
      <c r="K798" s="614">
        <f t="shared" si="26"/>
        <v>12432396</v>
      </c>
      <c r="L798" s="614">
        <f t="shared" si="25"/>
        <v>1181828.6799999997</v>
      </c>
    </row>
    <row r="799" spans="1:12" ht="30" customHeight="1">
      <c r="A799" s="266" t="s">
        <v>108</v>
      </c>
      <c r="B799" s="329">
        <v>1103</v>
      </c>
      <c r="C799" s="243" t="s">
        <v>486</v>
      </c>
      <c r="D799" s="191">
        <v>60100</v>
      </c>
      <c r="E799" s="196" t="s">
        <v>7</v>
      </c>
      <c r="F799" s="226"/>
      <c r="G799" s="292">
        <v>819136.9619999999</v>
      </c>
      <c r="H799" s="292"/>
      <c r="I799" s="292">
        <v>819136.9619999999</v>
      </c>
      <c r="J799" s="326"/>
      <c r="K799" s="614">
        <f t="shared" si="26"/>
        <v>819136.9619999999</v>
      </c>
      <c r="L799" s="614">
        <f t="shared" si="25"/>
        <v>819136.9619999999</v>
      </c>
    </row>
    <row r="800" spans="1:12" ht="30" customHeight="1">
      <c r="A800" s="266" t="s">
        <v>108</v>
      </c>
      <c r="B800" s="329">
        <v>1103</v>
      </c>
      <c r="C800" s="243" t="s">
        <v>486</v>
      </c>
      <c r="D800" s="188">
        <v>6122</v>
      </c>
      <c r="E800" s="235" t="s">
        <v>582</v>
      </c>
      <c r="F800" s="253"/>
      <c r="G800" s="292">
        <v>564000</v>
      </c>
      <c r="H800" s="292"/>
      <c r="I800" s="292">
        <v>564000</v>
      </c>
      <c r="J800" s="326"/>
      <c r="K800" s="614">
        <f t="shared" si="26"/>
        <v>564000</v>
      </c>
      <c r="L800" s="614">
        <f t="shared" si="25"/>
        <v>564000</v>
      </c>
    </row>
    <row r="801" spans="1:12" ht="30" customHeight="1">
      <c r="A801" s="266" t="s">
        <v>108</v>
      </c>
      <c r="B801" s="329">
        <v>1103</v>
      </c>
      <c r="C801" s="243" t="s">
        <v>486</v>
      </c>
      <c r="D801" s="210">
        <v>6175</v>
      </c>
      <c r="E801" s="262" t="s">
        <v>13</v>
      </c>
      <c r="F801" s="253"/>
      <c r="G801" s="292">
        <v>470000</v>
      </c>
      <c r="H801" s="292"/>
      <c r="I801" s="292">
        <v>470000</v>
      </c>
      <c r="J801" s="326"/>
      <c r="K801" s="614">
        <f t="shared" si="26"/>
        <v>470000</v>
      </c>
      <c r="L801" s="614">
        <f t="shared" si="25"/>
        <v>470000</v>
      </c>
    </row>
    <row r="802" spans="1:12" ht="30" customHeight="1">
      <c r="A802" s="266" t="s">
        <v>108</v>
      </c>
      <c r="B802" s="329">
        <v>1103</v>
      </c>
      <c r="C802" s="243" t="s">
        <v>486</v>
      </c>
      <c r="D802" s="268" t="s">
        <v>20</v>
      </c>
      <c r="E802" s="251"/>
      <c r="F802" s="226"/>
      <c r="G802" s="98">
        <f>SUBTOTAL(109,G798:G801)</f>
        <v>14285532.962</v>
      </c>
      <c r="H802" s="98">
        <f>SUBTOTAL(109,H798:H801)</f>
        <v>11250567.32</v>
      </c>
      <c r="I802" s="98">
        <f>SUBTOTAL(109,I798:I801)</f>
        <v>14285532.962</v>
      </c>
      <c r="J802" s="612">
        <f>SUBTOTAL(109,J799:J801)</f>
        <v>0</v>
      </c>
      <c r="K802" s="614">
        <f t="shared" si="26"/>
        <v>14285532.962</v>
      </c>
      <c r="L802" s="614">
        <f t="shared" si="25"/>
        <v>3034965.641999999</v>
      </c>
    </row>
    <row r="803" spans="1:12" ht="30" customHeight="1">
      <c r="A803" s="266" t="s">
        <v>108</v>
      </c>
      <c r="B803" s="329">
        <v>1005</v>
      </c>
      <c r="C803" s="243" t="s">
        <v>488</v>
      </c>
      <c r="D803" s="269" t="s">
        <v>117</v>
      </c>
      <c r="E803" s="251"/>
      <c r="F803" s="226"/>
      <c r="G803" s="292"/>
      <c r="H803" s="292"/>
      <c r="I803" s="292"/>
      <c r="J803" s="315"/>
      <c r="K803" s="614">
        <f t="shared" si="26"/>
        <v>0</v>
      </c>
      <c r="L803" s="614">
        <f t="shared" si="25"/>
        <v>0</v>
      </c>
    </row>
    <row r="804" spans="1:12" ht="30" customHeight="1">
      <c r="A804" s="266" t="s">
        <v>108</v>
      </c>
      <c r="B804" s="329">
        <v>1005</v>
      </c>
      <c r="C804" s="243" t="s">
        <v>488</v>
      </c>
      <c r="D804" s="191">
        <v>6611</v>
      </c>
      <c r="E804" s="196" t="s">
        <v>6</v>
      </c>
      <c r="F804" s="226">
        <v>9</v>
      </c>
      <c r="G804" s="297">
        <v>15896725</v>
      </c>
      <c r="H804" s="292">
        <v>10614400.08</v>
      </c>
      <c r="I804" s="297">
        <v>15896725</v>
      </c>
      <c r="J804" s="315"/>
      <c r="K804" s="614">
        <f t="shared" si="26"/>
        <v>15896725</v>
      </c>
      <c r="L804" s="614">
        <f t="shared" si="25"/>
        <v>5282324.92</v>
      </c>
    </row>
    <row r="805" spans="1:12" ht="30" customHeight="1">
      <c r="A805" s="266" t="s">
        <v>108</v>
      </c>
      <c r="B805" s="329">
        <v>1005</v>
      </c>
      <c r="C805" s="243" t="s">
        <v>488</v>
      </c>
      <c r="D805" s="191">
        <v>60100</v>
      </c>
      <c r="E805" s="196" t="s">
        <v>7</v>
      </c>
      <c r="F805" s="226"/>
      <c r="G805" s="288">
        <v>553284</v>
      </c>
      <c r="H805" s="292"/>
      <c r="I805" s="288">
        <v>553284</v>
      </c>
      <c r="J805" s="295"/>
      <c r="K805" s="614">
        <f t="shared" si="26"/>
        <v>553284</v>
      </c>
      <c r="L805" s="614">
        <f t="shared" si="25"/>
        <v>553284</v>
      </c>
    </row>
    <row r="806" spans="1:12" ht="30" customHeight="1">
      <c r="A806" s="266" t="s">
        <v>108</v>
      </c>
      <c r="B806" s="329">
        <v>1005</v>
      </c>
      <c r="C806" s="243" t="s">
        <v>488</v>
      </c>
      <c r="D806" s="191">
        <v>60101</v>
      </c>
      <c r="E806" s="196" t="s">
        <v>264</v>
      </c>
      <c r="F806" s="226"/>
      <c r="G806" s="288">
        <v>553284</v>
      </c>
      <c r="H806" s="351"/>
      <c r="I806" s="288">
        <v>553284</v>
      </c>
      <c r="J806" s="326"/>
      <c r="K806" s="614">
        <f t="shared" si="26"/>
        <v>553284</v>
      </c>
      <c r="L806" s="614">
        <f t="shared" si="25"/>
        <v>553284</v>
      </c>
    </row>
    <row r="807" spans="1:12" ht="30" customHeight="1">
      <c r="A807" s="266" t="s">
        <v>108</v>
      </c>
      <c r="B807" s="329">
        <v>1005</v>
      </c>
      <c r="C807" s="243" t="s">
        <v>488</v>
      </c>
      <c r="D807" s="188">
        <v>6122</v>
      </c>
      <c r="E807" s="235" t="s">
        <v>582</v>
      </c>
      <c r="F807" s="253"/>
      <c r="G807" s="288"/>
      <c r="H807" s="292"/>
      <c r="I807" s="288"/>
      <c r="J807" s="326"/>
      <c r="K807" s="614">
        <f t="shared" si="26"/>
        <v>0</v>
      </c>
      <c r="L807" s="614">
        <f t="shared" si="25"/>
        <v>0</v>
      </c>
    </row>
    <row r="808" spans="1:12" ht="30" customHeight="1">
      <c r="A808" s="241" t="s">
        <v>108</v>
      </c>
      <c r="B808" s="329">
        <v>1005</v>
      </c>
      <c r="C808" s="243" t="s">
        <v>488</v>
      </c>
      <c r="D808" s="210">
        <v>2125</v>
      </c>
      <c r="E808" s="262" t="s">
        <v>577</v>
      </c>
      <c r="F808" s="253"/>
      <c r="G808" s="288"/>
      <c r="H808" s="351"/>
      <c r="I808" s="288"/>
      <c r="J808" s="326"/>
      <c r="K808" s="614">
        <f t="shared" si="26"/>
        <v>0</v>
      </c>
      <c r="L808" s="614">
        <f t="shared" si="25"/>
        <v>0</v>
      </c>
    </row>
    <row r="809" spans="1:12" ht="30" customHeight="1">
      <c r="A809" s="266" t="s">
        <v>108</v>
      </c>
      <c r="B809" s="329">
        <v>1005</v>
      </c>
      <c r="C809" s="243" t="s">
        <v>488</v>
      </c>
      <c r="D809" s="268" t="s">
        <v>20</v>
      </c>
      <c r="E809" s="251"/>
      <c r="F809" s="98">
        <f>SUBTOTAL(109,F804:F807)</f>
        <v>9</v>
      </c>
      <c r="G809" s="98">
        <f>SUBTOTAL(109,G804:G807)</f>
        <v>17003293</v>
      </c>
      <c r="H809" s="98">
        <f>SUBTOTAL(109,H804:H807)</f>
        <v>10614400.08</v>
      </c>
      <c r="I809" s="98">
        <f>SUBTOTAL(109,I804:I807)</f>
        <v>17003293</v>
      </c>
      <c r="J809" s="581">
        <f>SUBTOTAL(109,J804:J807)</f>
        <v>0</v>
      </c>
      <c r="K809" s="614">
        <f t="shared" si="26"/>
        <v>17003293</v>
      </c>
      <c r="L809" s="614">
        <f t="shared" si="25"/>
        <v>6388892.92</v>
      </c>
    </row>
    <row r="810" spans="1:12" ht="30" customHeight="1">
      <c r="A810" s="266" t="s">
        <v>108</v>
      </c>
      <c r="B810" s="329" t="s">
        <v>546</v>
      </c>
      <c r="C810" s="243" t="s">
        <v>495</v>
      </c>
      <c r="D810" s="269" t="s">
        <v>295</v>
      </c>
      <c r="E810" s="196"/>
      <c r="F810" s="296"/>
      <c r="G810" s="297"/>
      <c r="H810" s="297"/>
      <c r="I810" s="297"/>
      <c r="J810" s="326"/>
      <c r="K810" s="614">
        <f t="shared" si="26"/>
        <v>0</v>
      </c>
      <c r="L810" s="614">
        <f t="shared" si="25"/>
        <v>0</v>
      </c>
    </row>
    <row r="811" spans="1:12" ht="30" customHeight="1">
      <c r="A811" s="266" t="s">
        <v>108</v>
      </c>
      <c r="B811" s="329" t="s">
        <v>546</v>
      </c>
      <c r="C811" s="243" t="s">
        <v>495</v>
      </c>
      <c r="D811" s="191">
        <v>6611</v>
      </c>
      <c r="E811" s="196" t="s">
        <v>6</v>
      </c>
      <c r="F811" s="291">
        <v>8</v>
      </c>
      <c r="G811" s="297">
        <v>11616000</v>
      </c>
      <c r="H811" s="297">
        <v>9960267.270000001</v>
      </c>
      <c r="I811" s="297">
        <v>11616000</v>
      </c>
      <c r="J811" s="326"/>
      <c r="K811" s="614">
        <f t="shared" si="26"/>
        <v>11616000</v>
      </c>
      <c r="L811" s="614">
        <f t="shared" si="25"/>
        <v>1655732.7299999986</v>
      </c>
    </row>
    <row r="812" spans="1:12" ht="30" customHeight="1">
      <c r="A812" s="266" t="s">
        <v>108</v>
      </c>
      <c r="B812" s="329" t="s">
        <v>546</v>
      </c>
      <c r="C812" s="243" t="s">
        <v>495</v>
      </c>
      <c r="D812" s="191">
        <v>60100</v>
      </c>
      <c r="E812" s="196" t="s">
        <v>7</v>
      </c>
      <c r="F812" s="284"/>
      <c r="G812" s="288">
        <v>752000</v>
      </c>
      <c r="H812" s="297">
        <v>564000</v>
      </c>
      <c r="I812" s="288">
        <v>752000</v>
      </c>
      <c r="J812" s="326"/>
      <c r="K812" s="614">
        <f t="shared" si="26"/>
        <v>752000</v>
      </c>
      <c r="L812" s="614">
        <f t="shared" si="25"/>
        <v>188000</v>
      </c>
    </row>
    <row r="813" spans="1:12" ht="30" customHeight="1">
      <c r="A813" s="266" t="s">
        <v>108</v>
      </c>
      <c r="B813" s="329" t="s">
        <v>546</v>
      </c>
      <c r="C813" s="243" t="s">
        <v>495</v>
      </c>
      <c r="D813" s="191">
        <v>60101</v>
      </c>
      <c r="E813" s="196" t="s">
        <v>264</v>
      </c>
      <c r="F813" s="284"/>
      <c r="G813" s="288">
        <v>564000</v>
      </c>
      <c r="H813" s="297">
        <v>423000</v>
      </c>
      <c r="I813" s="288">
        <v>564000</v>
      </c>
      <c r="J813" s="315"/>
      <c r="K813" s="614">
        <f t="shared" si="26"/>
        <v>564000</v>
      </c>
      <c r="L813" s="614">
        <f t="shared" si="25"/>
        <v>141000</v>
      </c>
    </row>
    <row r="814" spans="1:12" ht="30" customHeight="1">
      <c r="A814" s="266" t="s">
        <v>108</v>
      </c>
      <c r="B814" s="329" t="s">
        <v>546</v>
      </c>
      <c r="C814" s="243" t="s">
        <v>495</v>
      </c>
      <c r="D814" s="188">
        <v>6122</v>
      </c>
      <c r="E814" s="235" t="s">
        <v>582</v>
      </c>
      <c r="F814" s="96"/>
      <c r="G814" s="288">
        <v>470000</v>
      </c>
      <c r="H814" s="297">
        <v>352500</v>
      </c>
      <c r="I814" s="288">
        <v>470000</v>
      </c>
      <c r="J814" s="315"/>
      <c r="K814" s="614">
        <f t="shared" si="26"/>
        <v>470000</v>
      </c>
      <c r="L814" s="614">
        <f t="shared" si="25"/>
        <v>117500</v>
      </c>
    </row>
    <row r="815" spans="1:12" ht="30" customHeight="1">
      <c r="A815" s="266" t="s">
        <v>108</v>
      </c>
      <c r="B815" s="329" t="s">
        <v>546</v>
      </c>
      <c r="C815" s="243" t="s">
        <v>495</v>
      </c>
      <c r="D815" s="188">
        <v>2128</v>
      </c>
      <c r="E815" s="194" t="s">
        <v>588</v>
      </c>
      <c r="F815" s="96"/>
      <c r="G815" s="288">
        <v>500000000</v>
      </c>
      <c r="H815" s="344"/>
      <c r="I815" s="288">
        <v>500000000</v>
      </c>
      <c r="J815" s="299">
        <v>-500000000</v>
      </c>
      <c r="K815" s="614">
        <f t="shared" si="26"/>
        <v>0</v>
      </c>
      <c r="L815" s="614">
        <f t="shared" si="25"/>
        <v>0</v>
      </c>
    </row>
    <row r="816" spans="1:12" ht="30" customHeight="1">
      <c r="A816" s="266" t="s">
        <v>108</v>
      </c>
      <c r="B816" s="329" t="s">
        <v>546</v>
      </c>
      <c r="C816" s="243" t="s">
        <v>495</v>
      </c>
      <c r="D816" s="268" t="s">
        <v>20</v>
      </c>
      <c r="E816" s="298"/>
      <c r="F816" s="295">
        <f>SUBTOTAL(109,F811:F814)</f>
        <v>8</v>
      </c>
      <c r="G816" s="295">
        <f>SUBTOTAL(109,G811:G815)</f>
        <v>513402000</v>
      </c>
      <c r="H816" s="295">
        <f>SUBTOTAL(109,H811:H815)</f>
        <v>11299767.270000001</v>
      </c>
      <c r="I816" s="295">
        <f>SUBTOTAL(109,I811:I815)</f>
        <v>513402000</v>
      </c>
      <c r="J816" s="610">
        <f>SUBTOTAL(109,J811:J815)</f>
        <v>-500000000</v>
      </c>
      <c r="K816" s="614">
        <f t="shared" si="26"/>
        <v>13402000</v>
      </c>
      <c r="L816" s="614">
        <f t="shared" si="25"/>
        <v>2102232.7299999986</v>
      </c>
    </row>
    <row r="817" spans="1:12" ht="30" customHeight="1">
      <c r="A817" s="266" t="s">
        <v>108</v>
      </c>
      <c r="B817" s="329" t="s">
        <v>544</v>
      </c>
      <c r="C817" s="243" t="s">
        <v>492</v>
      </c>
      <c r="D817" s="249" t="s">
        <v>120</v>
      </c>
      <c r="E817" s="285"/>
      <c r="F817" s="226"/>
      <c r="G817" s="98"/>
      <c r="H817" s="267"/>
      <c r="I817" s="98"/>
      <c r="J817" s="326"/>
      <c r="K817" s="614">
        <f t="shared" si="26"/>
        <v>0</v>
      </c>
      <c r="L817" s="614">
        <f t="shared" si="25"/>
        <v>0</v>
      </c>
    </row>
    <row r="818" spans="1:12" ht="30" customHeight="1">
      <c r="A818" s="266" t="s">
        <v>108</v>
      </c>
      <c r="B818" s="329" t="s">
        <v>544</v>
      </c>
      <c r="C818" s="243" t="s">
        <v>492</v>
      </c>
      <c r="D818" s="210">
        <v>6311</v>
      </c>
      <c r="E818" s="262" t="s">
        <v>271</v>
      </c>
      <c r="F818" s="226"/>
      <c r="G818" s="98"/>
      <c r="H818" s="288"/>
      <c r="I818" s="98"/>
      <c r="J818" s="315"/>
      <c r="K818" s="614">
        <f t="shared" si="26"/>
        <v>0</v>
      </c>
      <c r="L818" s="614">
        <f t="shared" si="25"/>
        <v>0</v>
      </c>
    </row>
    <row r="819" spans="1:12" ht="30" customHeight="1">
      <c r="A819" s="266" t="s">
        <v>108</v>
      </c>
      <c r="B819" s="329" t="s">
        <v>544</v>
      </c>
      <c r="C819" s="243" t="s">
        <v>492</v>
      </c>
      <c r="D819" s="268" t="s">
        <v>20</v>
      </c>
      <c r="E819" s="226"/>
      <c r="F819" s="226"/>
      <c r="G819" s="98"/>
      <c r="H819" s="287">
        <f>H818</f>
        <v>0</v>
      </c>
      <c r="I819" s="98"/>
      <c r="J819" s="299"/>
      <c r="K819" s="614">
        <f t="shared" si="26"/>
        <v>0</v>
      </c>
      <c r="L819" s="614">
        <f t="shared" si="25"/>
        <v>0</v>
      </c>
    </row>
    <row r="820" spans="1:12" ht="30" customHeight="1">
      <c r="A820" s="266" t="s">
        <v>108</v>
      </c>
      <c r="B820" s="329" t="s">
        <v>450</v>
      </c>
      <c r="C820" s="243" t="s">
        <v>486</v>
      </c>
      <c r="D820" s="249" t="s">
        <v>114</v>
      </c>
      <c r="E820" s="276"/>
      <c r="F820" s="276"/>
      <c r="G820" s="182"/>
      <c r="H820" s="182"/>
      <c r="I820" s="182"/>
      <c r="J820" s="326"/>
      <c r="K820" s="614">
        <f t="shared" si="26"/>
        <v>0</v>
      </c>
      <c r="L820" s="614">
        <f t="shared" si="25"/>
        <v>0</v>
      </c>
    </row>
    <row r="821" spans="1:12" ht="30" customHeight="1">
      <c r="A821" s="266" t="s">
        <v>108</v>
      </c>
      <c r="B821" s="329" t="s">
        <v>450</v>
      </c>
      <c r="C821" s="243" t="s">
        <v>486</v>
      </c>
      <c r="D821" s="190">
        <v>6611</v>
      </c>
      <c r="E821" s="181" t="s">
        <v>6</v>
      </c>
      <c r="F821" s="276">
        <v>9</v>
      </c>
      <c r="G821" s="288">
        <v>15682400</v>
      </c>
      <c r="H821" s="288">
        <v>15252733.560000002</v>
      </c>
      <c r="I821" s="288">
        <f>14415200+1267200</f>
        <v>15682400</v>
      </c>
      <c r="J821" s="326"/>
      <c r="K821" s="614">
        <f t="shared" si="26"/>
        <v>15682400</v>
      </c>
      <c r="L821" s="614">
        <f t="shared" si="25"/>
        <v>429666.4399999976</v>
      </c>
    </row>
    <row r="822" spans="1:12" ht="30" customHeight="1">
      <c r="A822" s="266" t="s">
        <v>108</v>
      </c>
      <c r="B822" s="329" t="s">
        <v>450</v>
      </c>
      <c r="C822" s="243" t="s">
        <v>486</v>
      </c>
      <c r="D822" s="190">
        <v>60100</v>
      </c>
      <c r="E822" s="181" t="s">
        <v>7</v>
      </c>
      <c r="F822" s="276"/>
      <c r="G822" s="288">
        <v>564000</v>
      </c>
      <c r="H822" s="288"/>
      <c r="I822" s="288">
        <v>564000</v>
      </c>
      <c r="J822" s="326"/>
      <c r="K822" s="614">
        <f t="shared" si="26"/>
        <v>564000</v>
      </c>
      <c r="L822" s="614">
        <f t="shared" si="25"/>
        <v>564000</v>
      </c>
    </row>
    <row r="823" spans="1:12" ht="30" customHeight="1">
      <c r="A823" s="266" t="s">
        <v>108</v>
      </c>
      <c r="B823" s="329" t="s">
        <v>450</v>
      </c>
      <c r="C823" s="243" t="s">
        <v>486</v>
      </c>
      <c r="D823" s="190">
        <v>60101</v>
      </c>
      <c r="E823" s="181" t="s">
        <v>297</v>
      </c>
      <c r="F823" s="226"/>
      <c r="G823" s="288"/>
      <c r="H823" s="288"/>
      <c r="I823" s="288"/>
      <c r="J823" s="326"/>
      <c r="K823" s="614">
        <f t="shared" si="26"/>
        <v>0</v>
      </c>
      <c r="L823" s="614">
        <f t="shared" si="25"/>
        <v>0</v>
      </c>
    </row>
    <row r="824" spans="1:12" ht="30" customHeight="1">
      <c r="A824" s="266" t="s">
        <v>108</v>
      </c>
      <c r="B824" s="329" t="s">
        <v>450</v>
      </c>
      <c r="C824" s="243" t="s">
        <v>486</v>
      </c>
      <c r="D824" s="188">
        <v>6122</v>
      </c>
      <c r="E824" s="235" t="s">
        <v>582</v>
      </c>
      <c r="F824" s="278"/>
      <c r="G824" s="288">
        <v>376000</v>
      </c>
      <c r="H824" s="288"/>
      <c r="I824" s="288">
        <v>376000</v>
      </c>
      <c r="J824" s="326"/>
      <c r="K824" s="614">
        <f t="shared" si="26"/>
        <v>376000</v>
      </c>
      <c r="L824" s="614">
        <f t="shared" si="25"/>
        <v>376000</v>
      </c>
    </row>
    <row r="825" spans="1:12" ht="30" customHeight="1">
      <c r="A825" s="266" t="s">
        <v>108</v>
      </c>
      <c r="B825" s="329" t="s">
        <v>450</v>
      </c>
      <c r="C825" s="243" t="s">
        <v>486</v>
      </c>
      <c r="D825" s="224">
        <v>2127</v>
      </c>
      <c r="E825" s="192" t="s">
        <v>650</v>
      </c>
      <c r="F825" s="253"/>
      <c r="G825" s="288">
        <v>5000000000</v>
      </c>
      <c r="H825" s="288"/>
      <c r="I825" s="288">
        <v>0</v>
      </c>
      <c r="J825" s="326"/>
      <c r="K825" s="614">
        <f t="shared" si="26"/>
        <v>0</v>
      </c>
      <c r="L825" s="614">
        <f t="shared" si="25"/>
        <v>0</v>
      </c>
    </row>
    <row r="826" spans="1:12" ht="30" customHeight="1">
      <c r="A826" s="266" t="s">
        <v>108</v>
      </c>
      <c r="B826" s="329" t="s">
        <v>450</v>
      </c>
      <c r="C826" s="243" t="s">
        <v>486</v>
      </c>
      <c r="D826" s="224">
        <v>2125</v>
      </c>
      <c r="E826" s="301" t="s">
        <v>589</v>
      </c>
      <c r="F826" s="253"/>
      <c r="G826" s="182"/>
      <c r="H826" s="338"/>
      <c r="I826" s="182"/>
      <c r="J826" s="326"/>
      <c r="K826" s="614">
        <f t="shared" si="26"/>
        <v>0</v>
      </c>
      <c r="L826" s="614">
        <f t="shared" si="25"/>
        <v>0</v>
      </c>
    </row>
    <row r="827" spans="1:12" ht="30" customHeight="1">
      <c r="A827" s="266" t="s">
        <v>108</v>
      </c>
      <c r="B827" s="329" t="s">
        <v>450</v>
      </c>
      <c r="C827" s="243" t="s">
        <v>486</v>
      </c>
      <c r="D827" s="283" t="s">
        <v>20</v>
      </c>
      <c r="E827" s="276"/>
      <c r="F827" s="299">
        <f>SUBTOTAL(109,F821:F824)</f>
        <v>9</v>
      </c>
      <c r="G827" s="299">
        <f>SUBTOTAL(109,G821:G826)</f>
        <v>5016622400</v>
      </c>
      <c r="H827" s="299">
        <f>SUBTOTAL(109,H821:H824)</f>
        <v>15252733.560000002</v>
      </c>
      <c r="I827" s="299">
        <f>SUBTOTAL(109,I821:I826)</f>
        <v>16622400</v>
      </c>
      <c r="J827" s="613">
        <f>SUBTOTAL(109,J821:J826)</f>
        <v>0</v>
      </c>
      <c r="K827" s="614">
        <f t="shared" si="26"/>
        <v>16622400</v>
      </c>
      <c r="L827" s="614">
        <f t="shared" si="25"/>
        <v>1369666.4399999976</v>
      </c>
    </row>
    <row r="828" spans="1:12" ht="30" customHeight="1">
      <c r="A828" s="266" t="s">
        <v>108</v>
      </c>
      <c r="B828" s="329" t="s">
        <v>451</v>
      </c>
      <c r="C828" s="243" t="s">
        <v>486</v>
      </c>
      <c r="D828" s="353" t="s">
        <v>231</v>
      </c>
      <c r="E828" s="276"/>
      <c r="F828" s="276"/>
      <c r="G828" s="299"/>
      <c r="H828" s="299"/>
      <c r="I828" s="299"/>
      <c r="J828" s="326"/>
      <c r="K828" s="614">
        <f t="shared" si="26"/>
        <v>0</v>
      </c>
      <c r="L828" s="614">
        <f t="shared" si="25"/>
        <v>0</v>
      </c>
    </row>
    <row r="829" spans="1:12" ht="30" customHeight="1">
      <c r="A829" s="266" t="s">
        <v>108</v>
      </c>
      <c r="B829" s="329" t="s">
        <v>451</v>
      </c>
      <c r="C829" s="243" t="s">
        <v>486</v>
      </c>
      <c r="D829" s="283">
        <v>6173</v>
      </c>
      <c r="E829" s="181" t="s">
        <v>19</v>
      </c>
      <c r="F829" s="276"/>
      <c r="G829" s="288">
        <f>96000000*(1-1.3%)</f>
        <v>94752000</v>
      </c>
      <c r="H829" s="288">
        <v>47376000</v>
      </c>
      <c r="I829" s="288"/>
      <c r="J829" s="315"/>
      <c r="K829" s="614">
        <f t="shared" si="26"/>
        <v>0</v>
      </c>
      <c r="L829" s="614">
        <f t="shared" si="25"/>
        <v>-47376000</v>
      </c>
    </row>
    <row r="830" spans="1:12" ht="30" customHeight="1">
      <c r="A830" s="266" t="s">
        <v>108</v>
      </c>
      <c r="B830" s="329" t="s">
        <v>451</v>
      </c>
      <c r="C830" s="243" t="s">
        <v>486</v>
      </c>
      <c r="D830" s="188">
        <v>6311</v>
      </c>
      <c r="E830" s="194" t="s">
        <v>318</v>
      </c>
      <c r="F830" s="226"/>
      <c r="G830" s="288"/>
      <c r="H830" s="288"/>
      <c r="I830" s="288">
        <v>94752000</v>
      </c>
      <c r="J830" s="300"/>
      <c r="K830" s="614">
        <f t="shared" si="26"/>
        <v>94752000</v>
      </c>
      <c r="L830" s="614">
        <f t="shared" si="25"/>
        <v>94752000</v>
      </c>
    </row>
    <row r="831" spans="1:12" ht="30" customHeight="1">
      <c r="A831" s="266" t="s">
        <v>108</v>
      </c>
      <c r="B831" s="329" t="s">
        <v>451</v>
      </c>
      <c r="C831" s="243" t="s">
        <v>486</v>
      </c>
      <c r="D831" s="283">
        <v>2128</v>
      </c>
      <c r="E831" s="179" t="s">
        <v>575</v>
      </c>
      <c r="F831" s="226"/>
      <c r="G831" s="288"/>
      <c r="H831" s="288"/>
      <c r="I831" s="288"/>
      <c r="J831" s="300"/>
      <c r="K831" s="614">
        <f t="shared" si="26"/>
        <v>0</v>
      </c>
      <c r="L831" s="614">
        <f t="shared" si="25"/>
        <v>0</v>
      </c>
    </row>
    <row r="832" spans="1:12" ht="30" customHeight="1">
      <c r="A832" s="266" t="s">
        <v>108</v>
      </c>
      <c r="B832" s="329" t="s">
        <v>451</v>
      </c>
      <c r="C832" s="243" t="s">
        <v>486</v>
      </c>
      <c r="D832" s="283" t="s">
        <v>20</v>
      </c>
      <c r="E832" s="276"/>
      <c r="F832" s="276"/>
      <c r="G832" s="299">
        <f>SUBTOTAL(9,G829:G829)</f>
        <v>94752000</v>
      </c>
      <c r="H832" s="299">
        <f>SUBTOTAL(9,H829:H829)</f>
        <v>47376000</v>
      </c>
      <c r="I832" s="299">
        <f>SUBTOTAL(9,I829:I831)</f>
        <v>94752000</v>
      </c>
      <c r="J832" s="326"/>
      <c r="K832" s="614">
        <f t="shared" si="26"/>
        <v>94752000</v>
      </c>
      <c r="L832" s="614">
        <f t="shared" si="25"/>
        <v>47376000</v>
      </c>
    </row>
    <row r="833" spans="1:12" ht="30" customHeight="1">
      <c r="A833" s="266" t="s">
        <v>108</v>
      </c>
      <c r="B833" s="329" t="s">
        <v>428</v>
      </c>
      <c r="C833" s="245" t="s">
        <v>548</v>
      </c>
      <c r="D833" s="354"/>
      <c r="E833" s="226"/>
      <c r="F833" s="226"/>
      <c r="G833" s="299"/>
      <c r="H833" s="267"/>
      <c r="I833" s="299"/>
      <c r="J833" s="326"/>
      <c r="K833" s="614">
        <f t="shared" si="26"/>
        <v>0</v>
      </c>
      <c r="L833" s="614">
        <f t="shared" si="25"/>
        <v>0</v>
      </c>
    </row>
    <row r="834" spans="1:12" ht="30" customHeight="1">
      <c r="A834" s="266" t="s">
        <v>108</v>
      </c>
      <c r="B834" s="329" t="s">
        <v>428</v>
      </c>
      <c r="C834" s="243" t="s">
        <v>361</v>
      </c>
      <c r="D834" s="188">
        <v>60100</v>
      </c>
      <c r="E834" s="192" t="s">
        <v>7</v>
      </c>
      <c r="F834" s="226"/>
      <c r="G834" s="299">
        <v>0</v>
      </c>
      <c r="H834" s="267"/>
      <c r="I834" s="299"/>
      <c r="J834" s="326"/>
      <c r="K834" s="614">
        <f t="shared" si="26"/>
        <v>0</v>
      </c>
      <c r="L834" s="614">
        <f t="shared" si="25"/>
        <v>0</v>
      </c>
    </row>
    <row r="835" spans="1:12" ht="30" customHeight="1">
      <c r="A835" s="266" t="s">
        <v>108</v>
      </c>
      <c r="B835" s="329" t="s">
        <v>428</v>
      </c>
      <c r="C835" s="243" t="s">
        <v>361</v>
      </c>
      <c r="D835" s="188">
        <v>6122</v>
      </c>
      <c r="E835" s="235" t="s">
        <v>582</v>
      </c>
      <c r="F835" s="226"/>
      <c r="G835" s="299">
        <v>0</v>
      </c>
      <c r="H835" s="267"/>
      <c r="I835" s="299"/>
      <c r="J835" s="326"/>
      <c r="K835" s="614">
        <f t="shared" si="26"/>
        <v>0</v>
      </c>
      <c r="L835" s="614">
        <f t="shared" si="25"/>
        <v>0</v>
      </c>
    </row>
    <row r="836" spans="1:12" ht="30" customHeight="1">
      <c r="A836" s="266" t="s">
        <v>108</v>
      </c>
      <c r="B836" s="329" t="s">
        <v>428</v>
      </c>
      <c r="C836" s="243" t="s">
        <v>361</v>
      </c>
      <c r="D836" s="188">
        <v>6111</v>
      </c>
      <c r="E836" s="258" t="s">
        <v>549</v>
      </c>
      <c r="F836" s="226"/>
      <c r="G836" s="299">
        <v>0</v>
      </c>
      <c r="H836" s="267"/>
      <c r="I836" s="299"/>
      <c r="J836" s="326"/>
      <c r="K836" s="614">
        <f t="shared" si="26"/>
        <v>0</v>
      </c>
      <c r="L836" s="614">
        <f t="shared" si="25"/>
        <v>0</v>
      </c>
    </row>
    <row r="837" spans="1:12" ht="30" customHeight="1">
      <c r="A837" s="266" t="s">
        <v>108</v>
      </c>
      <c r="B837" s="329" t="s">
        <v>428</v>
      </c>
      <c r="C837" s="243" t="s">
        <v>361</v>
      </c>
      <c r="D837" s="257" t="s">
        <v>20</v>
      </c>
      <c r="E837" s="226"/>
      <c r="F837" s="226"/>
      <c r="G837" s="299">
        <f>SUBTOTAL(9,G834:G836)</f>
        <v>0</v>
      </c>
      <c r="H837" s="299">
        <f>SUBTOTAL(9,H834:H836)</f>
        <v>0</v>
      </c>
      <c r="I837" s="299">
        <f>SUBTOTAL(9,I834:I836)</f>
        <v>0</v>
      </c>
      <c r="J837" s="326"/>
      <c r="K837" s="614">
        <f t="shared" si="26"/>
        <v>0</v>
      </c>
      <c r="L837" s="614">
        <f t="shared" si="25"/>
        <v>0</v>
      </c>
    </row>
    <row r="838" spans="1:12" ht="30" customHeight="1">
      <c r="A838" s="266" t="s">
        <v>108</v>
      </c>
      <c r="B838" s="329" t="s">
        <v>429</v>
      </c>
      <c r="C838" s="243" t="s">
        <v>361</v>
      </c>
      <c r="D838" s="195" t="s">
        <v>97</v>
      </c>
      <c r="E838" s="227"/>
      <c r="F838" s="227"/>
      <c r="G838" s="300"/>
      <c r="H838" s="300"/>
      <c r="I838" s="300"/>
      <c r="J838" s="326"/>
      <c r="K838" s="614">
        <f t="shared" si="26"/>
        <v>0</v>
      </c>
      <c r="L838" s="614">
        <f t="shared" si="25"/>
        <v>0</v>
      </c>
    </row>
    <row r="839" spans="1:12" ht="30" customHeight="1">
      <c r="A839" s="266" t="s">
        <v>108</v>
      </c>
      <c r="B839" s="329" t="s">
        <v>429</v>
      </c>
      <c r="C839" s="243" t="s">
        <v>361</v>
      </c>
      <c r="D839" s="188">
        <v>6611</v>
      </c>
      <c r="E839" s="192" t="s">
        <v>6</v>
      </c>
      <c r="F839" s="226"/>
      <c r="G839" s="256"/>
      <c r="H839" s="256"/>
      <c r="I839" s="256"/>
      <c r="J839" s="326"/>
      <c r="K839" s="614">
        <f t="shared" si="26"/>
        <v>0</v>
      </c>
      <c r="L839" s="614">
        <f aca="true" t="shared" si="27" ref="L839:L902">K839-H839</f>
        <v>0</v>
      </c>
    </row>
    <row r="840" spans="1:12" ht="30" customHeight="1">
      <c r="A840" s="266" t="s">
        <v>108</v>
      </c>
      <c r="B840" s="329" t="s">
        <v>429</v>
      </c>
      <c r="C840" s="243" t="s">
        <v>361</v>
      </c>
      <c r="D840" s="188">
        <v>6311</v>
      </c>
      <c r="E840" s="194" t="s">
        <v>318</v>
      </c>
      <c r="F840" s="253"/>
      <c r="G840" s="288">
        <v>46000000</v>
      </c>
      <c r="H840" s="288">
        <v>51000000</v>
      </c>
      <c r="I840" s="288">
        <f>46000000+5000000</f>
        <v>51000000</v>
      </c>
      <c r="J840" s="326"/>
      <c r="K840" s="614">
        <f t="shared" si="26"/>
        <v>51000000</v>
      </c>
      <c r="L840" s="614">
        <f t="shared" si="27"/>
        <v>0</v>
      </c>
    </row>
    <row r="841" spans="1:12" ht="30" customHeight="1">
      <c r="A841" s="266" t="s">
        <v>108</v>
      </c>
      <c r="B841" s="329" t="s">
        <v>429</v>
      </c>
      <c r="C841" s="243" t="s">
        <v>361</v>
      </c>
      <c r="D841" s="188">
        <v>2121</v>
      </c>
      <c r="E841" s="301" t="s">
        <v>590</v>
      </c>
      <c r="F841" s="253"/>
      <c r="G841" s="288"/>
      <c r="H841" s="348"/>
      <c r="I841" s="288"/>
      <c r="J841" s="326"/>
      <c r="K841" s="614">
        <f t="shared" si="26"/>
        <v>0</v>
      </c>
      <c r="L841" s="614">
        <f t="shared" si="27"/>
        <v>0</v>
      </c>
    </row>
    <row r="842" spans="1:12" ht="30" customHeight="1">
      <c r="A842" s="266" t="s">
        <v>108</v>
      </c>
      <c r="B842" s="329" t="s">
        <v>429</v>
      </c>
      <c r="C842" s="243" t="s">
        <v>361</v>
      </c>
      <c r="D842" s="257" t="s">
        <v>20</v>
      </c>
      <c r="E842" s="192"/>
      <c r="F842" s="226"/>
      <c r="G842" s="300">
        <f>SUBTOTAL(109,G840:G840)</f>
        <v>46000000</v>
      </c>
      <c r="H842" s="300">
        <f>SUBTOTAL(109,H840:H840)</f>
        <v>51000000</v>
      </c>
      <c r="I842" s="300">
        <f>SUBTOTAL(109,I840:I840)</f>
        <v>51000000</v>
      </c>
      <c r="J842" s="326"/>
      <c r="K842" s="614">
        <f t="shared" si="26"/>
        <v>51000000</v>
      </c>
      <c r="L842" s="614">
        <f t="shared" si="27"/>
        <v>0</v>
      </c>
    </row>
    <row r="843" spans="1:12" ht="30" customHeight="1">
      <c r="A843" s="266" t="s">
        <v>108</v>
      </c>
      <c r="B843" s="329" t="s">
        <v>430</v>
      </c>
      <c r="C843" s="243" t="s">
        <v>361</v>
      </c>
      <c r="D843" s="271" t="s">
        <v>317</v>
      </c>
      <c r="E843" s="226"/>
      <c r="F843" s="226"/>
      <c r="G843" s="202"/>
      <c r="H843" s="202"/>
      <c r="I843" s="202"/>
      <c r="J843" s="326"/>
      <c r="K843" s="614">
        <f t="shared" si="26"/>
        <v>0</v>
      </c>
      <c r="L843" s="614">
        <f t="shared" si="27"/>
        <v>0</v>
      </c>
    </row>
    <row r="844" spans="1:12" ht="30" customHeight="1">
      <c r="A844" s="266" t="s">
        <v>108</v>
      </c>
      <c r="B844" s="329" t="s">
        <v>430</v>
      </c>
      <c r="C844" s="243" t="s">
        <v>361</v>
      </c>
      <c r="D844" s="188">
        <v>6611</v>
      </c>
      <c r="E844" s="192" t="s">
        <v>6</v>
      </c>
      <c r="F844" s="226">
        <v>25</v>
      </c>
      <c r="G844" s="288">
        <v>73923196</v>
      </c>
      <c r="H844" s="288">
        <v>71720421.57</v>
      </c>
      <c r="I844" s="288">
        <v>73923196</v>
      </c>
      <c r="J844" s="326"/>
      <c r="K844" s="614">
        <f t="shared" si="26"/>
        <v>73923196</v>
      </c>
      <c r="L844" s="614">
        <f t="shared" si="27"/>
        <v>2202774.430000007</v>
      </c>
    </row>
    <row r="845" spans="1:12" ht="30" customHeight="1">
      <c r="A845" s="266" t="s">
        <v>108</v>
      </c>
      <c r="B845" s="329" t="s">
        <v>430</v>
      </c>
      <c r="C845" s="243" t="s">
        <v>361</v>
      </c>
      <c r="D845" s="188">
        <v>6682</v>
      </c>
      <c r="E845" s="194" t="s">
        <v>262</v>
      </c>
      <c r="F845" s="253"/>
      <c r="G845" s="288">
        <v>0</v>
      </c>
      <c r="H845" s="288"/>
      <c r="I845" s="288">
        <v>0</v>
      </c>
      <c r="J845" s="300"/>
      <c r="K845" s="614">
        <f aca="true" t="shared" si="28" ref="K845:K908">I845+J845</f>
        <v>0</v>
      </c>
      <c r="L845" s="614">
        <f t="shared" si="27"/>
        <v>0</v>
      </c>
    </row>
    <row r="846" spans="1:12" ht="30" customHeight="1">
      <c r="A846" s="266" t="s">
        <v>108</v>
      </c>
      <c r="B846" s="329" t="s">
        <v>430</v>
      </c>
      <c r="C846" s="243" t="s">
        <v>361</v>
      </c>
      <c r="D846" s="188">
        <v>60100</v>
      </c>
      <c r="E846" s="192" t="s">
        <v>34</v>
      </c>
      <c r="F846" s="226"/>
      <c r="G846" s="288">
        <v>1164000</v>
      </c>
      <c r="H846" s="288"/>
      <c r="I846" s="288">
        <v>1164000</v>
      </c>
      <c r="J846" s="300"/>
      <c r="K846" s="614">
        <f t="shared" si="28"/>
        <v>1164000</v>
      </c>
      <c r="L846" s="614">
        <f t="shared" si="27"/>
        <v>1164000</v>
      </c>
    </row>
    <row r="847" spans="1:12" ht="30" customHeight="1">
      <c r="A847" s="266" t="s">
        <v>108</v>
      </c>
      <c r="B847" s="329" t="s">
        <v>430</v>
      </c>
      <c r="C847" s="243" t="s">
        <v>361</v>
      </c>
      <c r="D847" s="188">
        <v>60101</v>
      </c>
      <c r="E847" s="192" t="s">
        <v>264</v>
      </c>
      <c r="F847" s="226"/>
      <c r="G847" s="288"/>
      <c r="H847" s="288"/>
      <c r="I847" s="288"/>
      <c r="J847" s="326"/>
      <c r="K847" s="614">
        <f t="shared" si="28"/>
        <v>0</v>
      </c>
      <c r="L847" s="614">
        <f t="shared" si="27"/>
        <v>0</v>
      </c>
    </row>
    <row r="848" spans="1:12" ht="30" customHeight="1">
      <c r="A848" s="266" t="s">
        <v>108</v>
      </c>
      <c r="B848" s="329" t="s">
        <v>430</v>
      </c>
      <c r="C848" s="243" t="s">
        <v>361</v>
      </c>
      <c r="D848" s="188">
        <v>6041</v>
      </c>
      <c r="E848" s="194" t="s">
        <v>8</v>
      </c>
      <c r="F848" s="253"/>
      <c r="G848" s="288"/>
      <c r="H848" s="288"/>
      <c r="I848" s="288"/>
      <c r="J848" s="326"/>
      <c r="K848" s="614">
        <f t="shared" si="28"/>
        <v>0</v>
      </c>
      <c r="L848" s="614">
        <f t="shared" si="27"/>
        <v>0</v>
      </c>
    </row>
    <row r="849" spans="1:12" ht="30" customHeight="1">
      <c r="A849" s="266" t="s">
        <v>108</v>
      </c>
      <c r="B849" s="329" t="s">
        <v>430</v>
      </c>
      <c r="C849" s="243" t="s">
        <v>361</v>
      </c>
      <c r="D849" s="188">
        <v>6122</v>
      </c>
      <c r="E849" s="235" t="s">
        <v>582</v>
      </c>
      <c r="F849" s="253"/>
      <c r="G849" s="288">
        <v>500000</v>
      </c>
      <c r="H849" s="288"/>
      <c r="I849" s="288">
        <v>500000</v>
      </c>
      <c r="J849" s="326"/>
      <c r="K849" s="614">
        <f t="shared" si="28"/>
        <v>500000</v>
      </c>
      <c r="L849" s="614">
        <f t="shared" si="27"/>
        <v>500000</v>
      </c>
    </row>
    <row r="850" spans="1:12" ht="30" customHeight="1">
      <c r="A850" s="266" t="s">
        <v>108</v>
      </c>
      <c r="B850" s="329" t="s">
        <v>430</v>
      </c>
      <c r="C850" s="243" t="s">
        <v>361</v>
      </c>
      <c r="D850" s="188">
        <v>6133</v>
      </c>
      <c r="E850" s="194" t="s">
        <v>243</v>
      </c>
      <c r="F850" s="253"/>
      <c r="G850" s="288"/>
      <c r="H850" s="288"/>
      <c r="I850" s="288"/>
      <c r="J850" s="300"/>
      <c r="K850" s="614">
        <f t="shared" si="28"/>
        <v>0</v>
      </c>
      <c r="L850" s="614">
        <f t="shared" si="27"/>
        <v>0</v>
      </c>
    </row>
    <row r="851" spans="1:12" ht="30" customHeight="1">
      <c r="A851" s="266" t="s">
        <v>108</v>
      </c>
      <c r="B851" s="329" t="s">
        <v>430</v>
      </c>
      <c r="C851" s="243" t="s">
        <v>361</v>
      </c>
      <c r="D851" s="188">
        <v>6152</v>
      </c>
      <c r="E851" s="194" t="s">
        <v>256</v>
      </c>
      <c r="F851" s="253"/>
      <c r="G851" s="288"/>
      <c r="H851" s="288"/>
      <c r="I851" s="288"/>
      <c r="J851" s="326"/>
      <c r="K851" s="614">
        <f t="shared" si="28"/>
        <v>0</v>
      </c>
      <c r="L851" s="614">
        <f t="shared" si="27"/>
        <v>0</v>
      </c>
    </row>
    <row r="852" spans="1:12" ht="30" customHeight="1">
      <c r="A852" s="266" t="s">
        <v>108</v>
      </c>
      <c r="B852" s="329" t="s">
        <v>430</v>
      </c>
      <c r="C852" s="243" t="s">
        <v>361</v>
      </c>
      <c r="D852" s="188">
        <v>6111</v>
      </c>
      <c r="E852" s="194" t="s">
        <v>236</v>
      </c>
      <c r="F852" s="253"/>
      <c r="G852" s="288"/>
      <c r="H852" s="288"/>
      <c r="I852" s="288"/>
      <c r="J852" s="326"/>
      <c r="K852" s="614">
        <f t="shared" si="28"/>
        <v>0</v>
      </c>
      <c r="L852" s="614">
        <f t="shared" si="27"/>
        <v>0</v>
      </c>
    </row>
    <row r="853" spans="1:12" ht="30" customHeight="1">
      <c r="A853" s="266" t="s">
        <v>108</v>
      </c>
      <c r="B853" s="329" t="s">
        <v>430</v>
      </c>
      <c r="C853" s="243" t="s">
        <v>361</v>
      </c>
      <c r="D853" s="188">
        <v>6431</v>
      </c>
      <c r="E853" s="194" t="s">
        <v>222</v>
      </c>
      <c r="F853" s="253"/>
      <c r="G853" s="288"/>
      <c r="H853" s="288"/>
      <c r="I853" s="288"/>
      <c r="J853" s="326"/>
      <c r="K853" s="614">
        <f t="shared" si="28"/>
        <v>0</v>
      </c>
      <c r="L853" s="614">
        <f t="shared" si="27"/>
        <v>0</v>
      </c>
    </row>
    <row r="854" spans="1:12" ht="30" customHeight="1">
      <c r="A854" s="266" t="s">
        <v>108</v>
      </c>
      <c r="B854" s="329" t="s">
        <v>430</v>
      </c>
      <c r="C854" s="243" t="s">
        <v>361</v>
      </c>
      <c r="D854" s="188">
        <v>2164</v>
      </c>
      <c r="E854" s="194" t="s">
        <v>583</v>
      </c>
      <c r="F854" s="253"/>
      <c r="G854" s="288"/>
      <c r="H854" s="288"/>
      <c r="I854" s="288"/>
      <c r="J854" s="326"/>
      <c r="K854" s="614">
        <f t="shared" si="28"/>
        <v>0</v>
      </c>
      <c r="L854" s="614">
        <f t="shared" si="27"/>
        <v>0</v>
      </c>
    </row>
    <row r="855" spans="1:12" ht="30" customHeight="1">
      <c r="A855" s="266" t="s">
        <v>108</v>
      </c>
      <c r="B855" s="329" t="s">
        <v>430</v>
      </c>
      <c r="C855" s="243" t="s">
        <v>361</v>
      </c>
      <c r="D855" s="257">
        <v>2125</v>
      </c>
      <c r="E855" s="301" t="s">
        <v>573</v>
      </c>
      <c r="F855" s="253"/>
      <c r="G855" s="288"/>
      <c r="H855" s="288"/>
      <c r="I855" s="288"/>
      <c r="J855" s="326"/>
      <c r="K855" s="614">
        <f t="shared" si="28"/>
        <v>0</v>
      </c>
      <c r="L855" s="614">
        <f t="shared" si="27"/>
        <v>0</v>
      </c>
    </row>
    <row r="856" spans="1:12" ht="30" customHeight="1">
      <c r="A856" s="266" t="s">
        <v>108</v>
      </c>
      <c r="B856" s="329" t="s">
        <v>430</v>
      </c>
      <c r="C856" s="243" t="s">
        <v>361</v>
      </c>
      <c r="D856" s="257">
        <v>2128</v>
      </c>
      <c r="E856" s="301" t="s">
        <v>574</v>
      </c>
      <c r="F856" s="253"/>
      <c r="G856" s="288">
        <v>148000000</v>
      </c>
      <c r="H856" s="288"/>
      <c r="I856" s="288">
        <v>148000000</v>
      </c>
      <c r="J856" s="326">
        <v>-148000000</v>
      </c>
      <c r="K856" s="614">
        <f t="shared" si="28"/>
        <v>0</v>
      </c>
      <c r="L856" s="614">
        <f t="shared" si="27"/>
        <v>0</v>
      </c>
    </row>
    <row r="857" spans="1:12" ht="30" customHeight="1">
      <c r="A857" s="266" t="s">
        <v>108</v>
      </c>
      <c r="B857" s="329" t="s">
        <v>430</v>
      </c>
      <c r="C857" s="243" t="s">
        <v>361</v>
      </c>
      <c r="D857" s="257" t="s">
        <v>20</v>
      </c>
      <c r="E857" s="226"/>
      <c r="F857" s="300">
        <f>SUBTOTAL(109,F844:F849)</f>
        <v>25</v>
      </c>
      <c r="G857" s="300">
        <f>SUBTOTAL(109,G844:G856)</f>
        <v>223587196</v>
      </c>
      <c r="H857" s="300">
        <f>SUBTOTAL(109,H844:H856)</f>
        <v>71720421.57</v>
      </c>
      <c r="I857" s="300">
        <f>SUBTOTAL(109,I844:I856)</f>
        <v>223587196</v>
      </c>
      <c r="J857" s="579">
        <f>SUBTOTAL(109,J844:J856)</f>
        <v>-148000000</v>
      </c>
      <c r="K857" s="614">
        <f t="shared" si="28"/>
        <v>75587196</v>
      </c>
      <c r="L857" s="614">
        <f t="shared" si="27"/>
        <v>3866774.430000007</v>
      </c>
    </row>
    <row r="858" spans="1:12" ht="30" customHeight="1">
      <c r="A858" s="266" t="s">
        <v>108</v>
      </c>
      <c r="B858" s="329" t="s">
        <v>431</v>
      </c>
      <c r="C858" s="243" t="s">
        <v>361</v>
      </c>
      <c r="D858" s="254" t="s">
        <v>98</v>
      </c>
      <c r="E858" s="226"/>
      <c r="F858" s="226"/>
      <c r="G858" s="256"/>
      <c r="H858" s="256"/>
      <c r="I858" s="256"/>
      <c r="J858" s="326"/>
      <c r="K858" s="614">
        <f t="shared" si="28"/>
        <v>0</v>
      </c>
      <c r="L858" s="614">
        <f t="shared" si="27"/>
        <v>0</v>
      </c>
    </row>
    <row r="859" spans="1:12" ht="30" customHeight="1">
      <c r="A859" s="266" t="s">
        <v>108</v>
      </c>
      <c r="B859" s="329" t="s">
        <v>431</v>
      </c>
      <c r="C859" s="243" t="s">
        <v>361</v>
      </c>
      <c r="D859" s="188">
        <v>60100</v>
      </c>
      <c r="E859" s="192" t="s">
        <v>34</v>
      </c>
      <c r="F859" s="226"/>
      <c r="G859" s="202"/>
      <c r="H859" s="256"/>
      <c r="I859" s="202"/>
      <c r="J859" s="326"/>
      <c r="K859" s="614">
        <f t="shared" si="28"/>
        <v>0</v>
      </c>
      <c r="L859" s="614">
        <f t="shared" si="27"/>
        <v>0</v>
      </c>
    </row>
    <row r="860" spans="1:12" ht="30" customHeight="1">
      <c r="A860" s="266" t="s">
        <v>108</v>
      </c>
      <c r="B860" s="329" t="s">
        <v>431</v>
      </c>
      <c r="C860" s="243" t="s">
        <v>361</v>
      </c>
      <c r="D860" s="188">
        <v>6122</v>
      </c>
      <c r="E860" s="235" t="s">
        <v>582</v>
      </c>
      <c r="F860" s="253"/>
      <c r="G860" s="202"/>
      <c r="H860" s="256"/>
      <c r="I860" s="202"/>
      <c r="J860" s="300"/>
      <c r="K860" s="614">
        <f t="shared" si="28"/>
        <v>0</v>
      </c>
      <c r="L860" s="614">
        <f t="shared" si="27"/>
        <v>0</v>
      </c>
    </row>
    <row r="861" spans="1:12" ht="30" customHeight="1">
      <c r="A861" s="266" t="s">
        <v>108</v>
      </c>
      <c r="B861" s="329" t="s">
        <v>431</v>
      </c>
      <c r="C861" s="243" t="s">
        <v>361</v>
      </c>
      <c r="D861" s="257" t="s">
        <v>20</v>
      </c>
      <c r="E861" s="226"/>
      <c r="F861" s="226"/>
      <c r="G861" s="300">
        <f>SUBTOTAL(109,G859:G860)</f>
        <v>0</v>
      </c>
      <c r="H861" s="300">
        <f>SUBTOTAL(109,H859:H860)</f>
        <v>0</v>
      </c>
      <c r="I861" s="300">
        <f>SUBTOTAL(109,I859:I860)</f>
        <v>0</v>
      </c>
      <c r="J861" s="300"/>
      <c r="K861" s="614">
        <f t="shared" si="28"/>
        <v>0</v>
      </c>
      <c r="L861" s="614">
        <f t="shared" si="27"/>
        <v>0</v>
      </c>
    </row>
    <row r="862" spans="1:12" ht="30" customHeight="1">
      <c r="A862" s="266" t="s">
        <v>108</v>
      </c>
      <c r="B862" s="329" t="s">
        <v>545</v>
      </c>
      <c r="C862" s="243" t="s">
        <v>490</v>
      </c>
      <c r="D862" s="265" t="s">
        <v>119</v>
      </c>
      <c r="E862" s="290"/>
      <c r="F862" s="291"/>
      <c r="G862" s="297"/>
      <c r="H862" s="297"/>
      <c r="I862" s="297"/>
      <c r="J862" s="326"/>
      <c r="K862" s="614">
        <f t="shared" si="28"/>
        <v>0</v>
      </c>
      <c r="L862" s="614">
        <f t="shared" si="27"/>
        <v>0</v>
      </c>
    </row>
    <row r="863" spans="1:12" ht="30" customHeight="1">
      <c r="A863" s="266" t="s">
        <v>108</v>
      </c>
      <c r="B863" s="329" t="s">
        <v>545</v>
      </c>
      <c r="C863" s="243" t="s">
        <v>490</v>
      </c>
      <c r="D863" s="191">
        <v>6611</v>
      </c>
      <c r="E863" s="196" t="s">
        <v>6</v>
      </c>
      <c r="F863" s="291">
        <v>9</v>
      </c>
      <c r="G863" s="297">
        <f>13213200+8000000</f>
        <v>21213200</v>
      </c>
      <c r="H863" s="297">
        <v>19772433.759999998</v>
      </c>
      <c r="I863" s="297">
        <f>13213200+8000000</f>
        <v>21213200</v>
      </c>
      <c r="J863" s="326"/>
      <c r="K863" s="614">
        <f t="shared" si="28"/>
        <v>21213200</v>
      </c>
      <c r="L863" s="614">
        <f t="shared" si="27"/>
        <v>1440766.240000002</v>
      </c>
    </row>
    <row r="864" spans="1:12" ht="30" customHeight="1">
      <c r="A864" s="266" t="s">
        <v>108</v>
      </c>
      <c r="B864" s="329" t="s">
        <v>545</v>
      </c>
      <c r="C864" s="243" t="s">
        <v>490</v>
      </c>
      <c r="D864" s="191">
        <v>60100</v>
      </c>
      <c r="E864" s="196" t="s">
        <v>7</v>
      </c>
      <c r="F864" s="284"/>
      <c r="G864" s="288">
        <v>553284</v>
      </c>
      <c r="H864" s="288"/>
      <c r="I864" s="288">
        <v>553284</v>
      </c>
      <c r="J864" s="326"/>
      <c r="K864" s="614">
        <f t="shared" si="28"/>
        <v>553284</v>
      </c>
      <c r="L864" s="614">
        <f t="shared" si="27"/>
        <v>553284</v>
      </c>
    </row>
    <row r="865" spans="1:12" ht="30" customHeight="1">
      <c r="A865" s="266" t="s">
        <v>108</v>
      </c>
      <c r="B865" s="329" t="s">
        <v>545</v>
      </c>
      <c r="C865" s="243" t="s">
        <v>490</v>
      </c>
      <c r="D865" s="191">
        <v>60101</v>
      </c>
      <c r="E865" s="196" t="s">
        <v>264</v>
      </c>
      <c r="F865" s="284"/>
      <c r="G865" s="288">
        <v>553284</v>
      </c>
      <c r="H865" s="288"/>
      <c r="I865" s="288">
        <v>553284</v>
      </c>
      <c r="J865" s="326"/>
      <c r="K865" s="614">
        <f t="shared" si="28"/>
        <v>553284</v>
      </c>
      <c r="L865" s="614">
        <f t="shared" si="27"/>
        <v>553284</v>
      </c>
    </row>
    <row r="866" spans="1:12" ht="30" customHeight="1">
      <c r="A866" s="266" t="s">
        <v>108</v>
      </c>
      <c r="B866" s="329" t="s">
        <v>545</v>
      </c>
      <c r="C866" s="243" t="s">
        <v>490</v>
      </c>
      <c r="D866" s="188">
        <v>6122</v>
      </c>
      <c r="E866" s="235" t="s">
        <v>582</v>
      </c>
      <c r="F866" s="96"/>
      <c r="G866" s="288">
        <v>368856</v>
      </c>
      <c r="H866" s="288"/>
      <c r="I866" s="288">
        <v>368856</v>
      </c>
      <c r="J866" s="326"/>
      <c r="K866" s="614">
        <f t="shared" si="28"/>
        <v>368856</v>
      </c>
      <c r="L866" s="614">
        <f t="shared" si="27"/>
        <v>368856</v>
      </c>
    </row>
    <row r="867" spans="1:12" ht="30" customHeight="1">
      <c r="A867" s="266" t="s">
        <v>108</v>
      </c>
      <c r="B867" s="329" t="s">
        <v>545</v>
      </c>
      <c r="C867" s="243" t="s">
        <v>490</v>
      </c>
      <c r="D867" s="210">
        <v>6321</v>
      </c>
      <c r="E867" s="301" t="s">
        <v>525</v>
      </c>
      <c r="F867" s="96"/>
      <c r="G867" s="288">
        <v>3000000000</v>
      </c>
      <c r="H867" s="288">
        <v>3000000000</v>
      </c>
      <c r="I867" s="288">
        <v>3000000000</v>
      </c>
      <c r="J867" s="326"/>
      <c r="K867" s="614">
        <f t="shared" si="28"/>
        <v>3000000000</v>
      </c>
      <c r="L867" s="614">
        <f t="shared" si="27"/>
        <v>0</v>
      </c>
    </row>
    <row r="868" spans="1:12" ht="30" customHeight="1">
      <c r="A868" s="266" t="s">
        <v>108</v>
      </c>
      <c r="B868" s="329" t="s">
        <v>545</v>
      </c>
      <c r="C868" s="243" t="s">
        <v>490</v>
      </c>
      <c r="D868" s="210">
        <v>2154</v>
      </c>
      <c r="E868" s="301" t="s">
        <v>662</v>
      </c>
      <c r="F868" s="96"/>
      <c r="G868" s="288">
        <f>1649000000+4351000000</f>
        <v>6000000000</v>
      </c>
      <c r="H868" s="288">
        <f>7379516250+428147936</f>
        <v>7807664186</v>
      </c>
      <c r="I868" s="288">
        <f>6000000000+8500000000</f>
        <v>14500000000</v>
      </c>
      <c r="J868" s="326">
        <f>-2131000000-2795000000</f>
        <v>-4926000000</v>
      </c>
      <c r="K868" s="614">
        <f t="shared" si="28"/>
        <v>9574000000</v>
      </c>
      <c r="L868" s="614">
        <f t="shared" si="27"/>
        <v>1766335814</v>
      </c>
    </row>
    <row r="869" spans="1:12" ht="30" customHeight="1">
      <c r="A869" s="266" t="s">
        <v>108</v>
      </c>
      <c r="B869" s="329" t="s">
        <v>545</v>
      </c>
      <c r="C869" s="243" t="s">
        <v>490</v>
      </c>
      <c r="D869" s="210">
        <v>2157</v>
      </c>
      <c r="E869" s="301" t="s">
        <v>555</v>
      </c>
      <c r="F869" s="96"/>
      <c r="G869" s="288">
        <v>500000000</v>
      </c>
      <c r="H869" s="348"/>
      <c r="I869" s="288"/>
      <c r="J869" s="98"/>
      <c r="K869" s="614">
        <f t="shared" si="28"/>
        <v>0</v>
      </c>
      <c r="L869" s="614">
        <f t="shared" si="27"/>
        <v>0</v>
      </c>
    </row>
    <row r="870" spans="1:12" ht="30" customHeight="1">
      <c r="A870" s="266" t="s">
        <v>108</v>
      </c>
      <c r="B870" s="329" t="s">
        <v>545</v>
      </c>
      <c r="C870" s="243" t="s">
        <v>490</v>
      </c>
      <c r="D870" s="210">
        <v>2158</v>
      </c>
      <c r="E870" s="301" t="s">
        <v>576</v>
      </c>
      <c r="F870" s="96"/>
      <c r="G870" s="288">
        <v>1000000000</v>
      </c>
      <c r="H870" s="348"/>
      <c r="I870" s="288"/>
      <c r="J870" s="98"/>
      <c r="K870" s="614">
        <f t="shared" si="28"/>
        <v>0</v>
      </c>
      <c r="L870" s="614">
        <f t="shared" si="27"/>
        <v>0</v>
      </c>
    </row>
    <row r="871" spans="1:12" ht="30" customHeight="1">
      <c r="A871" s="266" t="s">
        <v>108</v>
      </c>
      <c r="B871" s="329" t="s">
        <v>545</v>
      </c>
      <c r="C871" s="243" t="s">
        <v>490</v>
      </c>
      <c r="D871" s="210">
        <v>2151</v>
      </c>
      <c r="E871" s="253" t="s">
        <v>571</v>
      </c>
      <c r="F871" s="96"/>
      <c r="G871" s="288"/>
      <c r="H871" s="348"/>
      <c r="I871" s="288"/>
      <c r="J871" s="326"/>
      <c r="K871" s="614">
        <f t="shared" si="28"/>
        <v>0</v>
      </c>
      <c r="L871" s="614">
        <f t="shared" si="27"/>
        <v>0</v>
      </c>
    </row>
    <row r="872" spans="1:12" ht="30" customHeight="1">
      <c r="A872" s="266" t="s">
        <v>108</v>
      </c>
      <c r="B872" s="329" t="s">
        <v>545</v>
      </c>
      <c r="C872" s="243" t="s">
        <v>490</v>
      </c>
      <c r="D872" s="257" t="s">
        <v>20</v>
      </c>
      <c r="E872" s="226"/>
      <c r="F872" s="300">
        <f>F863+F864+F865+F866+F867</f>
        <v>9</v>
      </c>
      <c r="G872" s="300">
        <f>SUM(G863:G871)</f>
        <v>10522688624</v>
      </c>
      <c r="H872" s="300">
        <f>SUM(H863:H871)</f>
        <v>10827436619.76</v>
      </c>
      <c r="I872" s="300">
        <f>SUM(I863:I871)</f>
        <v>17522688624</v>
      </c>
      <c r="J872" s="579">
        <f>SUM(J863:J871)</f>
        <v>-4926000000</v>
      </c>
      <c r="K872" s="614">
        <f t="shared" si="28"/>
        <v>12596688624</v>
      </c>
      <c r="L872" s="614">
        <f t="shared" si="27"/>
        <v>1769252004.2399998</v>
      </c>
    </row>
    <row r="873" spans="1:12" ht="30" customHeight="1">
      <c r="A873" s="266" t="s">
        <v>108</v>
      </c>
      <c r="B873" s="329">
        <v>1008</v>
      </c>
      <c r="C873" s="243" t="s">
        <v>491</v>
      </c>
      <c r="D873" s="265" t="s">
        <v>211</v>
      </c>
      <c r="E873" s="298"/>
      <c r="F873" s="284"/>
      <c r="G873" s="295"/>
      <c r="H873" s="295"/>
      <c r="I873" s="295"/>
      <c r="J873" s="326"/>
      <c r="K873" s="614">
        <f t="shared" si="28"/>
        <v>0</v>
      </c>
      <c r="L873" s="614">
        <f t="shared" si="27"/>
        <v>0</v>
      </c>
    </row>
    <row r="874" spans="1:12" ht="30" customHeight="1">
      <c r="A874" s="266" t="s">
        <v>108</v>
      </c>
      <c r="B874" s="329">
        <v>1008</v>
      </c>
      <c r="C874" s="243" t="s">
        <v>491</v>
      </c>
      <c r="D874" s="355">
        <v>6312</v>
      </c>
      <c r="E874" s="302" t="s">
        <v>270</v>
      </c>
      <c r="F874" s="284"/>
      <c r="G874" s="294">
        <f>80660000-40000000</f>
        <v>40660000</v>
      </c>
      <c r="H874" s="288">
        <v>40660000</v>
      </c>
      <c r="I874" s="294">
        <f>80660000-40000000</f>
        <v>40660000</v>
      </c>
      <c r="J874" s="326"/>
      <c r="K874" s="614">
        <f t="shared" si="28"/>
        <v>40660000</v>
      </c>
      <c r="L874" s="614">
        <f t="shared" si="27"/>
        <v>0</v>
      </c>
    </row>
    <row r="875" spans="1:12" ht="30" customHeight="1">
      <c r="A875" s="266" t="s">
        <v>108</v>
      </c>
      <c r="B875" s="329">
        <v>1008</v>
      </c>
      <c r="C875" s="243" t="s">
        <v>491</v>
      </c>
      <c r="D875" s="268" t="s">
        <v>20</v>
      </c>
      <c r="E875" s="298"/>
      <c r="F875" s="284"/>
      <c r="G875" s="295">
        <f>SUBTOTAL(109,G874:G874)</f>
        <v>40660000</v>
      </c>
      <c r="H875" s="295">
        <f>SUBTOTAL(109,H874:H874)</f>
        <v>40660000</v>
      </c>
      <c r="I875" s="295">
        <f>SUBTOTAL(109,I874:I874)</f>
        <v>40660000</v>
      </c>
      <c r="J875" s="610">
        <f>SUBTOTAL(109,J874:J874)</f>
        <v>0</v>
      </c>
      <c r="K875" s="614">
        <f t="shared" si="28"/>
        <v>40660000</v>
      </c>
      <c r="L875" s="614">
        <f t="shared" si="27"/>
        <v>0</v>
      </c>
    </row>
    <row r="876" spans="1:12" ht="30" customHeight="1">
      <c r="A876" s="266" t="s">
        <v>108</v>
      </c>
      <c r="B876" s="329">
        <v>1012</v>
      </c>
      <c r="C876" s="243" t="s">
        <v>361</v>
      </c>
      <c r="D876" s="265" t="s">
        <v>122</v>
      </c>
      <c r="E876" s="285"/>
      <c r="F876" s="286"/>
      <c r="G876" s="297"/>
      <c r="H876" s="297"/>
      <c r="I876" s="297"/>
      <c r="J876" s="326"/>
      <c r="K876" s="614">
        <f t="shared" si="28"/>
        <v>0</v>
      </c>
      <c r="L876" s="614">
        <f t="shared" si="27"/>
        <v>0</v>
      </c>
    </row>
    <row r="877" spans="1:12" ht="30" customHeight="1">
      <c r="A877" s="266" t="s">
        <v>108</v>
      </c>
      <c r="B877" s="329">
        <v>1012</v>
      </c>
      <c r="C877" s="243" t="s">
        <v>361</v>
      </c>
      <c r="D877" s="191">
        <v>6611</v>
      </c>
      <c r="E877" s="196" t="s">
        <v>6</v>
      </c>
      <c r="F877" s="286">
        <v>1</v>
      </c>
      <c r="G877" s="297">
        <v>2816000</v>
      </c>
      <c r="H877" s="297"/>
      <c r="I877" s="297">
        <v>2816000</v>
      </c>
      <c r="J877" s="326"/>
      <c r="K877" s="614">
        <f t="shared" si="28"/>
        <v>2816000</v>
      </c>
      <c r="L877" s="614">
        <f t="shared" si="27"/>
        <v>2816000</v>
      </c>
    </row>
    <row r="878" spans="1:12" ht="30" customHeight="1">
      <c r="A878" s="266" t="s">
        <v>108</v>
      </c>
      <c r="B878" s="329">
        <v>1012</v>
      </c>
      <c r="C878" s="243" t="s">
        <v>361</v>
      </c>
      <c r="D878" s="191">
        <v>6173</v>
      </c>
      <c r="E878" s="196" t="s">
        <v>19</v>
      </c>
      <c r="F878" s="284"/>
      <c r="G878" s="288"/>
      <c r="H878" s="288"/>
      <c r="I878" s="288"/>
      <c r="J878" s="326"/>
      <c r="K878" s="614">
        <f t="shared" si="28"/>
        <v>0</v>
      </c>
      <c r="L878" s="614">
        <f t="shared" si="27"/>
        <v>0</v>
      </c>
    </row>
    <row r="879" spans="1:12" ht="30" customHeight="1">
      <c r="A879" s="266" t="s">
        <v>108</v>
      </c>
      <c r="B879" s="329">
        <v>1012</v>
      </c>
      <c r="C879" s="243" t="s">
        <v>361</v>
      </c>
      <c r="D879" s="210">
        <v>6311</v>
      </c>
      <c r="E879" s="262" t="s">
        <v>597</v>
      </c>
      <c r="F879" s="286"/>
      <c r="G879" s="288">
        <v>10000000</v>
      </c>
      <c r="H879" s="297">
        <v>2500000</v>
      </c>
      <c r="I879" s="288">
        <v>10000000</v>
      </c>
      <c r="J879" s="326"/>
      <c r="K879" s="614">
        <f t="shared" si="28"/>
        <v>10000000</v>
      </c>
      <c r="L879" s="614">
        <f t="shared" si="27"/>
        <v>7500000</v>
      </c>
    </row>
    <row r="880" spans="1:12" ht="30" customHeight="1">
      <c r="A880" s="266" t="s">
        <v>108</v>
      </c>
      <c r="B880" s="329">
        <v>1012</v>
      </c>
      <c r="C880" s="243" t="s">
        <v>361</v>
      </c>
      <c r="D880" s="268" t="s">
        <v>20</v>
      </c>
      <c r="E880" s="298"/>
      <c r="F880" s="295">
        <f>SUBTOTAL(109,F877:F879)</f>
        <v>1</v>
      </c>
      <c r="G880" s="295">
        <f>SUBTOTAL(109,G877:G879)</f>
        <v>12816000</v>
      </c>
      <c r="H880" s="295">
        <f>SUBTOTAL(109,H877:H879)</f>
        <v>2500000</v>
      </c>
      <c r="I880" s="295">
        <f>SUBTOTAL(109,I877:I879)</f>
        <v>12816000</v>
      </c>
      <c r="J880" s="326"/>
      <c r="K880" s="614">
        <f t="shared" si="28"/>
        <v>12816000</v>
      </c>
      <c r="L880" s="614">
        <f t="shared" si="27"/>
        <v>10316000</v>
      </c>
    </row>
    <row r="881" spans="1:12" ht="30" customHeight="1">
      <c r="A881" s="266" t="s">
        <v>108</v>
      </c>
      <c r="B881" s="318" t="s">
        <v>72</v>
      </c>
      <c r="C881" s="243"/>
      <c r="D881" s="191"/>
      <c r="E881" s="251"/>
      <c r="F881" s="98">
        <f>F872+F857+F842+F832+F827+F819+F816+F809+F802+F796+F785</f>
        <v>84</v>
      </c>
      <c r="G881" s="98">
        <f>G880+G872+G857+G842+G832+G827+G819+G816+G809+G802+G796+G785+G875</f>
        <v>16566180849.962</v>
      </c>
      <c r="H881" s="98">
        <f>H880+H872+H857+H842+H832+H827+H819+H816+H809+H802+H796+H785+H875</f>
        <v>11195553374.669998</v>
      </c>
      <c r="I881" s="98">
        <f>I880+I872+I857+I842+I832+I827+I819+I816+I809+I802+I796+I785+I875</f>
        <v>18571180849.962</v>
      </c>
      <c r="J881" s="581">
        <f>J880+J872+J857+J842+J832+J827+J819+J816+J809+J802+J796+J785+J875</f>
        <v>-5574000000</v>
      </c>
      <c r="K881" s="614">
        <f t="shared" si="28"/>
        <v>12997180849.962002</v>
      </c>
      <c r="L881" s="614">
        <f t="shared" si="27"/>
        <v>1801627475.2920036</v>
      </c>
    </row>
    <row r="882" spans="1:12" ht="30" customHeight="1">
      <c r="A882" s="241" t="s">
        <v>115</v>
      </c>
      <c r="B882" s="328" t="s">
        <v>535</v>
      </c>
      <c r="C882" s="243"/>
      <c r="D882" s="303"/>
      <c r="E882" s="304"/>
      <c r="F882" s="304"/>
      <c r="G882" s="305"/>
      <c r="H882" s="305"/>
      <c r="I882" s="305"/>
      <c r="J882" s="326"/>
      <c r="K882" s="614">
        <f t="shared" si="28"/>
        <v>0</v>
      </c>
      <c r="L882" s="614">
        <f t="shared" si="27"/>
        <v>0</v>
      </c>
    </row>
    <row r="883" spans="1:12" ht="30" customHeight="1">
      <c r="A883" s="241" t="s">
        <v>115</v>
      </c>
      <c r="B883" s="329">
        <v>1201</v>
      </c>
      <c r="C883" s="243" t="s">
        <v>499</v>
      </c>
      <c r="D883" s="254" t="s">
        <v>132</v>
      </c>
      <c r="E883" s="226"/>
      <c r="F883" s="226"/>
      <c r="G883" s="242"/>
      <c r="H883" s="242"/>
      <c r="I883" s="242"/>
      <c r="J883" s="326"/>
      <c r="K883" s="614">
        <f t="shared" si="28"/>
        <v>0</v>
      </c>
      <c r="L883" s="614">
        <f t="shared" si="27"/>
        <v>0</v>
      </c>
    </row>
    <row r="884" spans="1:12" ht="30" customHeight="1">
      <c r="A884" s="241" t="s">
        <v>115</v>
      </c>
      <c r="B884" s="329">
        <v>1201</v>
      </c>
      <c r="C884" s="243" t="s">
        <v>499</v>
      </c>
      <c r="D884" s="188">
        <v>6611</v>
      </c>
      <c r="E884" s="192" t="s">
        <v>6</v>
      </c>
      <c r="F884" s="226">
        <f>45</f>
        <v>45</v>
      </c>
      <c r="G884" s="294">
        <v>74248404</v>
      </c>
      <c r="H884" s="294">
        <v>61687964.07000001</v>
      </c>
      <c r="I884" s="294">
        <v>74248404</v>
      </c>
      <c r="J884" s="326"/>
      <c r="K884" s="614">
        <f t="shared" si="28"/>
        <v>74248404</v>
      </c>
      <c r="L884" s="614">
        <f t="shared" si="27"/>
        <v>12560439.929999992</v>
      </c>
    </row>
    <row r="885" spans="1:12" ht="30" customHeight="1">
      <c r="A885" s="241" t="s">
        <v>115</v>
      </c>
      <c r="B885" s="329">
        <v>1201</v>
      </c>
      <c r="C885" s="243" t="s">
        <v>499</v>
      </c>
      <c r="D885" s="188">
        <v>60100</v>
      </c>
      <c r="E885" s="192" t="s">
        <v>7</v>
      </c>
      <c r="F885" s="226"/>
      <c r="G885" s="294">
        <v>1992000</v>
      </c>
      <c r="H885" s="294">
        <v>491500</v>
      </c>
      <c r="I885" s="294">
        <v>1992000</v>
      </c>
      <c r="J885" s="326"/>
      <c r="K885" s="614">
        <f t="shared" si="28"/>
        <v>1992000</v>
      </c>
      <c r="L885" s="614">
        <f t="shared" si="27"/>
        <v>1500500</v>
      </c>
    </row>
    <row r="886" spans="1:12" ht="30" customHeight="1">
      <c r="A886" s="241" t="s">
        <v>115</v>
      </c>
      <c r="B886" s="329">
        <v>1201</v>
      </c>
      <c r="C886" s="243" t="s">
        <v>499</v>
      </c>
      <c r="D886" s="188">
        <v>60101</v>
      </c>
      <c r="E886" s="192" t="s">
        <v>264</v>
      </c>
      <c r="F886" s="226"/>
      <c r="G886" s="294">
        <v>280000</v>
      </c>
      <c r="H886" s="294">
        <v>65000</v>
      </c>
      <c r="I886" s="294">
        <v>280000</v>
      </c>
      <c r="K886" s="614">
        <f t="shared" si="28"/>
        <v>280000</v>
      </c>
      <c r="L886" s="614">
        <f t="shared" si="27"/>
        <v>215000</v>
      </c>
    </row>
    <row r="887" spans="1:12" ht="30" customHeight="1">
      <c r="A887" s="241" t="s">
        <v>115</v>
      </c>
      <c r="B887" s="329">
        <v>1201</v>
      </c>
      <c r="C887" s="243" t="s">
        <v>499</v>
      </c>
      <c r="D887" s="188">
        <v>6122</v>
      </c>
      <c r="E887" s="235" t="s">
        <v>582</v>
      </c>
      <c r="F887" s="253"/>
      <c r="G887" s="294">
        <v>564000</v>
      </c>
      <c r="H887" s="294">
        <v>140200</v>
      </c>
      <c r="I887" s="294">
        <v>564000</v>
      </c>
      <c r="J887" s="326"/>
      <c r="K887" s="614">
        <f t="shared" si="28"/>
        <v>564000</v>
      </c>
      <c r="L887" s="614">
        <f t="shared" si="27"/>
        <v>423800</v>
      </c>
    </row>
    <row r="888" spans="1:12" ht="30" customHeight="1">
      <c r="A888" s="241" t="s">
        <v>115</v>
      </c>
      <c r="B888" s="329">
        <v>1201</v>
      </c>
      <c r="C888" s="243" t="s">
        <v>499</v>
      </c>
      <c r="D888" s="187">
        <v>6133</v>
      </c>
      <c r="E888" s="194" t="s">
        <v>110</v>
      </c>
      <c r="F888" s="253"/>
      <c r="G888" s="294">
        <v>3164000</v>
      </c>
      <c r="H888" s="294"/>
      <c r="I888" s="294">
        <v>3164000</v>
      </c>
      <c r="J888" s="98"/>
      <c r="K888" s="614">
        <f t="shared" si="28"/>
        <v>3164000</v>
      </c>
      <c r="L888" s="614">
        <f t="shared" si="27"/>
        <v>3164000</v>
      </c>
    </row>
    <row r="889" spans="1:12" ht="30" customHeight="1">
      <c r="A889" s="241" t="s">
        <v>115</v>
      </c>
      <c r="B889" s="329">
        <v>1201</v>
      </c>
      <c r="C889" s="243" t="s">
        <v>499</v>
      </c>
      <c r="D889" s="187">
        <v>6135</v>
      </c>
      <c r="E889" s="194" t="s">
        <v>171</v>
      </c>
      <c r="F889" s="253"/>
      <c r="G889" s="294"/>
      <c r="H889" s="338"/>
      <c r="I889" s="294"/>
      <c r="J889" s="98"/>
      <c r="K889" s="614">
        <f t="shared" si="28"/>
        <v>0</v>
      </c>
      <c r="L889" s="614">
        <f t="shared" si="27"/>
        <v>0</v>
      </c>
    </row>
    <row r="890" spans="1:12" ht="30" customHeight="1">
      <c r="A890" s="241" t="s">
        <v>115</v>
      </c>
      <c r="B890" s="329">
        <v>1201</v>
      </c>
      <c r="C890" s="243" t="s">
        <v>499</v>
      </c>
      <c r="D890" s="187">
        <v>6138</v>
      </c>
      <c r="E890" s="194" t="s">
        <v>177</v>
      </c>
      <c r="F890" s="253"/>
      <c r="G890" s="294"/>
      <c r="H890" s="294"/>
      <c r="I890" s="294"/>
      <c r="J890" s="326"/>
      <c r="K890" s="614">
        <f t="shared" si="28"/>
        <v>0</v>
      </c>
      <c r="L890" s="614">
        <f t="shared" si="27"/>
        <v>0</v>
      </c>
    </row>
    <row r="891" spans="1:12" ht="30" customHeight="1">
      <c r="A891" s="241" t="s">
        <v>115</v>
      </c>
      <c r="B891" s="329">
        <v>1201</v>
      </c>
      <c r="C891" s="243" t="s">
        <v>499</v>
      </c>
      <c r="D891" s="187">
        <v>6143</v>
      </c>
      <c r="E891" s="253" t="s">
        <v>292</v>
      </c>
      <c r="F891" s="253"/>
      <c r="G891" s="294"/>
      <c r="H891" s="338"/>
      <c r="I891" s="294"/>
      <c r="J891" s="326"/>
      <c r="K891" s="614">
        <f t="shared" si="28"/>
        <v>0</v>
      </c>
      <c r="L891" s="614">
        <f t="shared" si="27"/>
        <v>0</v>
      </c>
    </row>
    <row r="892" spans="1:12" ht="30" customHeight="1">
      <c r="A892" s="241" t="s">
        <v>115</v>
      </c>
      <c r="B892" s="329">
        <v>1201</v>
      </c>
      <c r="C892" s="243" t="s">
        <v>499</v>
      </c>
      <c r="D892" s="187">
        <v>6052</v>
      </c>
      <c r="E892" s="253" t="s">
        <v>598</v>
      </c>
      <c r="F892" s="253"/>
      <c r="G892" s="294"/>
      <c r="H892" s="338"/>
      <c r="I892" s="294"/>
      <c r="J892" s="326"/>
      <c r="K892" s="614">
        <f t="shared" si="28"/>
        <v>0</v>
      </c>
      <c r="L892" s="614">
        <f t="shared" si="27"/>
        <v>0</v>
      </c>
    </row>
    <row r="893" spans="1:12" ht="30" customHeight="1">
      <c r="A893" s="241" t="s">
        <v>115</v>
      </c>
      <c r="B893" s="329">
        <v>1201</v>
      </c>
      <c r="C893" s="243" t="s">
        <v>499</v>
      </c>
      <c r="D893" s="187">
        <v>6152</v>
      </c>
      <c r="E893" s="253" t="s">
        <v>256</v>
      </c>
      <c r="F893" s="253"/>
      <c r="G893" s="294"/>
      <c r="H893" s="338"/>
      <c r="I893" s="294"/>
      <c r="J893" s="326"/>
      <c r="K893" s="614">
        <f t="shared" si="28"/>
        <v>0</v>
      </c>
      <c r="L893" s="614">
        <f t="shared" si="27"/>
        <v>0</v>
      </c>
    </row>
    <row r="894" spans="1:12" ht="30" customHeight="1">
      <c r="A894" s="241" t="s">
        <v>115</v>
      </c>
      <c r="B894" s="329">
        <v>1201</v>
      </c>
      <c r="C894" s="243" t="s">
        <v>499</v>
      </c>
      <c r="D894" s="187">
        <v>6111</v>
      </c>
      <c r="E894" s="194" t="s">
        <v>238</v>
      </c>
      <c r="F894" s="253"/>
      <c r="G894" s="294"/>
      <c r="H894" s="338"/>
      <c r="I894" s="294"/>
      <c r="J894" s="326"/>
      <c r="K894" s="614">
        <f t="shared" si="28"/>
        <v>0</v>
      </c>
      <c r="L894" s="614">
        <f t="shared" si="27"/>
        <v>0</v>
      </c>
    </row>
    <row r="895" spans="1:12" ht="30" customHeight="1">
      <c r="A895" s="241" t="s">
        <v>115</v>
      </c>
      <c r="B895" s="329">
        <v>1201</v>
      </c>
      <c r="C895" s="243" t="s">
        <v>499</v>
      </c>
      <c r="D895" s="187">
        <v>6112</v>
      </c>
      <c r="E895" s="194" t="s">
        <v>236</v>
      </c>
      <c r="F895" s="253"/>
      <c r="G895" s="294"/>
      <c r="H895" s="294"/>
      <c r="I895" s="294"/>
      <c r="J895" s="326"/>
      <c r="K895" s="614">
        <f t="shared" si="28"/>
        <v>0</v>
      </c>
      <c r="L895" s="614">
        <f t="shared" si="27"/>
        <v>0</v>
      </c>
    </row>
    <row r="896" spans="1:12" ht="30" customHeight="1">
      <c r="A896" s="241" t="s">
        <v>115</v>
      </c>
      <c r="B896" s="329">
        <v>1201</v>
      </c>
      <c r="C896" s="243" t="s">
        <v>499</v>
      </c>
      <c r="D896" s="187">
        <v>6175</v>
      </c>
      <c r="E896" s="194" t="s">
        <v>13</v>
      </c>
      <c r="F896" s="253"/>
      <c r="G896" s="294">
        <v>2000000</v>
      </c>
      <c r="H896" s="294"/>
      <c r="I896" s="294">
        <v>2000000</v>
      </c>
      <c r="J896" s="326"/>
      <c r="K896" s="614">
        <f t="shared" si="28"/>
        <v>2000000</v>
      </c>
      <c r="L896" s="614">
        <f t="shared" si="27"/>
        <v>2000000</v>
      </c>
    </row>
    <row r="897" spans="1:12" ht="30" customHeight="1">
      <c r="A897" s="241" t="s">
        <v>115</v>
      </c>
      <c r="B897" s="329">
        <v>1201</v>
      </c>
      <c r="C897" s="243" t="s">
        <v>499</v>
      </c>
      <c r="D897" s="187">
        <v>6431</v>
      </c>
      <c r="E897" s="194" t="s">
        <v>222</v>
      </c>
      <c r="F897" s="253"/>
      <c r="G897" s="294">
        <v>60000000</v>
      </c>
      <c r="H897" s="294">
        <v>3312030</v>
      </c>
      <c r="I897" s="294">
        <v>60000000</v>
      </c>
      <c r="J897" s="326"/>
      <c r="K897" s="614">
        <f t="shared" si="28"/>
        <v>60000000</v>
      </c>
      <c r="L897" s="614">
        <f t="shared" si="27"/>
        <v>56687970</v>
      </c>
    </row>
    <row r="898" spans="1:12" ht="30" customHeight="1">
      <c r="A898" s="241" t="s">
        <v>115</v>
      </c>
      <c r="B898" s="329">
        <v>1201</v>
      </c>
      <c r="C898" s="243" t="s">
        <v>499</v>
      </c>
      <c r="D898" s="187">
        <v>2121</v>
      </c>
      <c r="E898" s="194" t="s">
        <v>590</v>
      </c>
      <c r="F898" s="253"/>
      <c r="G898" s="294"/>
      <c r="H898" s="294"/>
      <c r="I898" s="294"/>
      <c r="J898" s="326"/>
      <c r="K898" s="614">
        <f t="shared" si="28"/>
        <v>0</v>
      </c>
      <c r="L898" s="614">
        <f t="shared" si="27"/>
        <v>0</v>
      </c>
    </row>
    <row r="899" spans="1:12" ht="30" customHeight="1">
      <c r="A899" s="241" t="s">
        <v>115</v>
      </c>
      <c r="B899" s="329">
        <v>1201</v>
      </c>
      <c r="C899" s="243" t="s">
        <v>499</v>
      </c>
      <c r="D899" s="187">
        <v>2164</v>
      </c>
      <c r="E899" s="194" t="s">
        <v>283</v>
      </c>
      <c r="F899" s="194"/>
      <c r="G899" s="294"/>
      <c r="H899" s="294"/>
      <c r="I899" s="294"/>
      <c r="J899" s="326"/>
      <c r="K899" s="614">
        <f t="shared" si="28"/>
        <v>0</v>
      </c>
      <c r="L899" s="614">
        <f t="shared" si="27"/>
        <v>0</v>
      </c>
    </row>
    <row r="900" spans="1:12" ht="30" customHeight="1">
      <c r="A900" s="241" t="s">
        <v>115</v>
      </c>
      <c r="B900" s="329">
        <v>1201</v>
      </c>
      <c r="C900" s="243" t="s">
        <v>499</v>
      </c>
      <c r="D900" s="257" t="s">
        <v>20</v>
      </c>
      <c r="E900" s="226"/>
      <c r="F900" s="98">
        <f>SUBTOTAL(109,F884:F897)</f>
        <v>45</v>
      </c>
      <c r="G900" s="98">
        <f>SUBTOTAL(109,G884:G897)</f>
        <v>142248404</v>
      </c>
      <c r="H900" s="98">
        <f>SUBTOTAL(109,H884:H897)</f>
        <v>65696694.07000001</v>
      </c>
      <c r="I900" s="98">
        <f>SUBTOTAL(109,I884:I897)</f>
        <v>142248404</v>
      </c>
      <c r="J900" s="326"/>
      <c r="K900" s="614">
        <f t="shared" si="28"/>
        <v>142248404</v>
      </c>
      <c r="L900" s="614">
        <f t="shared" si="27"/>
        <v>76551709.92999999</v>
      </c>
    </row>
    <row r="901" spans="1:12" ht="30" customHeight="1">
      <c r="A901" s="241" t="s">
        <v>115</v>
      </c>
      <c r="B901" s="329">
        <v>1202</v>
      </c>
      <c r="C901" s="243" t="s">
        <v>499</v>
      </c>
      <c r="D901" s="254" t="s">
        <v>66</v>
      </c>
      <c r="E901" s="226"/>
      <c r="F901" s="226"/>
      <c r="G901" s="98"/>
      <c r="H901" s="267"/>
      <c r="I901" s="267"/>
      <c r="J901" s="326"/>
      <c r="K901" s="614">
        <f t="shared" si="28"/>
        <v>0</v>
      </c>
      <c r="L901" s="614">
        <f t="shared" si="27"/>
        <v>0</v>
      </c>
    </row>
    <row r="902" spans="1:12" ht="30" customHeight="1">
      <c r="A902" s="241" t="s">
        <v>115</v>
      </c>
      <c r="B902" s="329">
        <v>1202</v>
      </c>
      <c r="C902" s="243" t="s">
        <v>499</v>
      </c>
      <c r="D902" s="188">
        <v>6611</v>
      </c>
      <c r="E902" s="192" t="s">
        <v>6</v>
      </c>
      <c r="F902" s="226">
        <v>6</v>
      </c>
      <c r="G902" s="294">
        <v>22163576</v>
      </c>
      <c r="H902" s="294">
        <v>14921466.36</v>
      </c>
      <c r="I902" s="294">
        <v>22163576</v>
      </c>
      <c r="J902" s="98"/>
      <c r="K902" s="614">
        <f t="shared" si="28"/>
        <v>22163576</v>
      </c>
      <c r="L902" s="614">
        <f t="shared" si="27"/>
        <v>7242109.640000001</v>
      </c>
    </row>
    <row r="903" spans="1:12" ht="30" customHeight="1">
      <c r="A903" s="241" t="s">
        <v>115</v>
      </c>
      <c r="B903" s="329">
        <v>1202</v>
      </c>
      <c r="C903" s="243" t="s">
        <v>499</v>
      </c>
      <c r="D903" s="188">
        <v>60100</v>
      </c>
      <c r="E903" s="192" t="s">
        <v>7</v>
      </c>
      <c r="F903" s="226"/>
      <c r="G903" s="294">
        <v>844000</v>
      </c>
      <c r="H903" s="294">
        <v>210950</v>
      </c>
      <c r="I903" s="294">
        <v>844000</v>
      </c>
      <c r="J903" s="98"/>
      <c r="K903" s="614">
        <f t="shared" si="28"/>
        <v>844000</v>
      </c>
      <c r="L903" s="614">
        <f aca="true" t="shared" si="29" ref="L903:L966">K903-H903</f>
        <v>633050</v>
      </c>
    </row>
    <row r="904" spans="1:12" ht="30" customHeight="1">
      <c r="A904" s="241" t="s">
        <v>115</v>
      </c>
      <c r="B904" s="329">
        <v>1202</v>
      </c>
      <c r="C904" s="243" t="s">
        <v>499</v>
      </c>
      <c r="D904" s="188">
        <v>60101</v>
      </c>
      <c r="E904" s="192" t="s">
        <v>255</v>
      </c>
      <c r="F904" s="226"/>
      <c r="G904" s="294">
        <v>265000</v>
      </c>
      <c r="H904" s="294">
        <v>65000</v>
      </c>
      <c r="I904" s="294">
        <v>265000</v>
      </c>
      <c r="J904" s="315"/>
      <c r="K904" s="614">
        <f t="shared" si="28"/>
        <v>265000</v>
      </c>
      <c r="L904" s="614">
        <f t="shared" si="29"/>
        <v>200000</v>
      </c>
    </row>
    <row r="905" spans="1:12" ht="30" customHeight="1">
      <c r="A905" s="241" t="s">
        <v>115</v>
      </c>
      <c r="B905" s="329">
        <v>1202</v>
      </c>
      <c r="C905" s="243" t="s">
        <v>499</v>
      </c>
      <c r="D905" s="188">
        <v>6122</v>
      </c>
      <c r="E905" s="235" t="s">
        <v>582</v>
      </c>
      <c r="F905" s="226"/>
      <c r="G905" s="98"/>
      <c r="H905" s="294"/>
      <c r="I905" s="267"/>
      <c r="J905" s="315"/>
      <c r="K905" s="614">
        <f t="shared" si="28"/>
        <v>0</v>
      </c>
      <c r="L905" s="614">
        <f t="shared" si="29"/>
        <v>0</v>
      </c>
    </row>
    <row r="906" spans="1:12" ht="30" customHeight="1">
      <c r="A906" s="241" t="s">
        <v>115</v>
      </c>
      <c r="B906" s="329">
        <v>1202</v>
      </c>
      <c r="C906" s="243" t="s">
        <v>499</v>
      </c>
      <c r="D906" s="188">
        <v>6143</v>
      </c>
      <c r="E906" s="192" t="s">
        <v>292</v>
      </c>
      <c r="F906" s="226"/>
      <c r="G906" s="98"/>
      <c r="H906" s="294"/>
      <c r="I906" s="267"/>
      <c r="J906" s="315"/>
      <c r="K906" s="614">
        <f t="shared" si="28"/>
        <v>0</v>
      </c>
      <c r="L906" s="614">
        <f t="shared" si="29"/>
        <v>0</v>
      </c>
    </row>
    <row r="907" spans="1:12" ht="30" customHeight="1">
      <c r="A907" s="241" t="s">
        <v>115</v>
      </c>
      <c r="B907" s="329">
        <v>1202</v>
      </c>
      <c r="C907" s="243" t="s">
        <v>499</v>
      </c>
      <c r="D907" s="188">
        <v>6112</v>
      </c>
      <c r="E907" s="192" t="s">
        <v>556</v>
      </c>
      <c r="F907" s="226"/>
      <c r="G907" s="98"/>
      <c r="H907" s="294"/>
      <c r="I907" s="267"/>
      <c r="J907" s="315"/>
      <c r="K907" s="614">
        <f t="shared" si="28"/>
        <v>0</v>
      </c>
      <c r="L907" s="614">
        <f t="shared" si="29"/>
        <v>0</v>
      </c>
    </row>
    <row r="908" spans="1:12" ht="30" customHeight="1">
      <c r="A908" s="241" t="s">
        <v>115</v>
      </c>
      <c r="B908" s="329">
        <v>1202</v>
      </c>
      <c r="C908" s="243" t="s">
        <v>499</v>
      </c>
      <c r="D908" s="188">
        <v>6175</v>
      </c>
      <c r="E908" s="194" t="s">
        <v>13</v>
      </c>
      <c r="F908" s="253"/>
      <c r="G908" s="98"/>
      <c r="H908" s="294"/>
      <c r="I908" s="267"/>
      <c r="J908" s="315"/>
      <c r="K908" s="614">
        <f t="shared" si="28"/>
        <v>0</v>
      </c>
      <c r="L908" s="614">
        <f t="shared" si="29"/>
        <v>0</v>
      </c>
    </row>
    <row r="909" spans="1:12" ht="30" customHeight="1">
      <c r="A909" s="241" t="s">
        <v>115</v>
      </c>
      <c r="B909" s="329">
        <v>1202</v>
      </c>
      <c r="C909" s="243" t="s">
        <v>499</v>
      </c>
      <c r="D909" s="188">
        <v>6433</v>
      </c>
      <c r="E909" s="194" t="s">
        <v>42</v>
      </c>
      <c r="F909" s="253"/>
      <c r="G909" s="98"/>
      <c r="H909" s="294"/>
      <c r="I909" s="267"/>
      <c r="J909" s="98"/>
      <c r="K909" s="614">
        <f aca="true" t="shared" si="30" ref="K909:K972">I909+J909</f>
        <v>0</v>
      </c>
      <c r="L909" s="614">
        <f t="shared" si="29"/>
        <v>0</v>
      </c>
    </row>
    <row r="910" spans="1:12" ht="30" customHeight="1">
      <c r="A910" s="241" t="s">
        <v>115</v>
      </c>
      <c r="B910" s="329">
        <v>1202</v>
      </c>
      <c r="C910" s="243" t="s">
        <v>499</v>
      </c>
      <c r="D910" s="188">
        <v>2041</v>
      </c>
      <c r="E910" s="194" t="s">
        <v>557</v>
      </c>
      <c r="F910" s="253"/>
      <c r="G910" s="98"/>
      <c r="H910" s="294"/>
      <c r="I910" s="267"/>
      <c r="J910" s="98"/>
      <c r="K910" s="614">
        <f t="shared" si="30"/>
        <v>0</v>
      </c>
      <c r="L910" s="614">
        <f t="shared" si="29"/>
        <v>0</v>
      </c>
    </row>
    <row r="911" spans="1:12" ht="30" customHeight="1">
      <c r="A911" s="241" t="s">
        <v>115</v>
      </c>
      <c r="B911" s="329">
        <v>1202</v>
      </c>
      <c r="C911" s="243" t="s">
        <v>499</v>
      </c>
      <c r="D911" s="188">
        <v>2164</v>
      </c>
      <c r="E911" s="194" t="s">
        <v>283</v>
      </c>
      <c r="F911" s="253"/>
      <c r="G911" s="98"/>
      <c r="H911" s="294"/>
      <c r="I911" s="267"/>
      <c r="J911" s="315"/>
      <c r="K911" s="614">
        <f t="shared" si="30"/>
        <v>0</v>
      </c>
      <c r="L911" s="614">
        <f t="shared" si="29"/>
        <v>0</v>
      </c>
    </row>
    <row r="912" spans="1:12" ht="30" customHeight="1">
      <c r="A912" s="241" t="s">
        <v>115</v>
      </c>
      <c r="B912" s="329">
        <v>1202</v>
      </c>
      <c r="C912" s="243" t="s">
        <v>499</v>
      </c>
      <c r="D912" s="188">
        <v>2162</v>
      </c>
      <c r="E912" s="194" t="s">
        <v>553</v>
      </c>
      <c r="F912" s="253"/>
      <c r="G912" s="98"/>
      <c r="H912" s="294"/>
      <c r="I912" s="267"/>
      <c r="J912" s="315"/>
      <c r="K912" s="614">
        <f t="shared" si="30"/>
        <v>0</v>
      </c>
      <c r="L912" s="614">
        <f t="shared" si="29"/>
        <v>0</v>
      </c>
    </row>
    <row r="913" spans="1:12" ht="30" customHeight="1">
      <c r="A913" s="241" t="s">
        <v>115</v>
      </c>
      <c r="B913" s="329">
        <v>1202</v>
      </c>
      <c r="C913" s="243" t="s">
        <v>499</v>
      </c>
      <c r="D913" s="188">
        <v>2161</v>
      </c>
      <c r="E913" s="194" t="s">
        <v>286</v>
      </c>
      <c r="F913" s="253"/>
      <c r="G913" s="98"/>
      <c r="H913" s="294"/>
      <c r="I913" s="267"/>
      <c r="J913" s="315"/>
      <c r="K913" s="614">
        <f t="shared" si="30"/>
        <v>0</v>
      </c>
      <c r="L913" s="614">
        <f t="shared" si="29"/>
        <v>0</v>
      </c>
    </row>
    <row r="914" spans="1:12" ht="30" customHeight="1">
      <c r="A914" s="241" t="s">
        <v>115</v>
      </c>
      <c r="B914" s="329">
        <v>1202</v>
      </c>
      <c r="C914" s="243" t="s">
        <v>499</v>
      </c>
      <c r="D914" s="257" t="s">
        <v>20</v>
      </c>
      <c r="E914" s="226"/>
      <c r="F914" s="98">
        <f>SUM(F902:F909)</f>
        <v>6</v>
      </c>
      <c r="G914" s="98">
        <f>SUM(G902:G909)</f>
        <v>23272576</v>
      </c>
      <c r="H914" s="98">
        <f>SUM(H902:H909)</f>
        <v>15197416.36</v>
      </c>
      <c r="I914" s="98">
        <f>SUM(I902:I909)</f>
        <v>23272576</v>
      </c>
      <c r="J914" s="315"/>
      <c r="K914" s="614">
        <f t="shared" si="30"/>
        <v>23272576</v>
      </c>
      <c r="L914" s="614">
        <f t="shared" si="29"/>
        <v>8075159.640000001</v>
      </c>
    </row>
    <row r="915" spans="1:12" ht="30" customHeight="1">
      <c r="A915" s="241" t="s">
        <v>115</v>
      </c>
      <c r="B915" s="329">
        <v>1203</v>
      </c>
      <c r="C915" s="243" t="s">
        <v>499</v>
      </c>
      <c r="D915" s="254" t="s">
        <v>133</v>
      </c>
      <c r="E915" s="226"/>
      <c r="F915" s="226"/>
      <c r="G915" s="242"/>
      <c r="H915" s="242"/>
      <c r="I915" s="242"/>
      <c r="J915" s="98"/>
      <c r="K915" s="614">
        <f t="shared" si="30"/>
        <v>0</v>
      </c>
      <c r="L915" s="614">
        <f t="shared" si="29"/>
        <v>0</v>
      </c>
    </row>
    <row r="916" spans="1:12" ht="30" customHeight="1">
      <c r="A916" s="241" t="s">
        <v>115</v>
      </c>
      <c r="B916" s="329">
        <v>1203</v>
      </c>
      <c r="C916" s="243" t="s">
        <v>499</v>
      </c>
      <c r="D916" s="188">
        <v>6611</v>
      </c>
      <c r="E916" s="192" t="s">
        <v>6</v>
      </c>
      <c r="F916" s="226"/>
      <c r="G916" s="242"/>
      <c r="H916" s="267"/>
      <c r="I916" s="242"/>
      <c r="J916" s="98"/>
      <c r="K916" s="614">
        <f t="shared" si="30"/>
        <v>0</v>
      </c>
      <c r="L916" s="614">
        <f t="shared" si="29"/>
        <v>0</v>
      </c>
    </row>
    <row r="917" spans="1:12" ht="30" customHeight="1">
      <c r="A917" s="241" t="s">
        <v>115</v>
      </c>
      <c r="B917" s="329">
        <v>1203</v>
      </c>
      <c r="C917" s="243" t="s">
        <v>499</v>
      </c>
      <c r="D917" s="188">
        <v>60100</v>
      </c>
      <c r="E917" s="192" t="s">
        <v>7</v>
      </c>
      <c r="F917" s="226"/>
      <c r="G917" s="294">
        <v>966100</v>
      </c>
      <c r="H917" s="294">
        <v>241250</v>
      </c>
      <c r="I917" s="294">
        <f>966100</f>
        <v>966100</v>
      </c>
      <c r="J917" s="315"/>
      <c r="K917" s="614">
        <f t="shared" si="30"/>
        <v>966100</v>
      </c>
      <c r="L917" s="614">
        <f t="shared" si="29"/>
        <v>724850</v>
      </c>
    </row>
    <row r="918" spans="1:12" ht="30" customHeight="1">
      <c r="A918" s="241" t="s">
        <v>115</v>
      </c>
      <c r="B918" s="329">
        <v>1203</v>
      </c>
      <c r="C918" s="243" t="s">
        <v>499</v>
      </c>
      <c r="D918" s="188">
        <v>6122</v>
      </c>
      <c r="E918" s="235" t="s">
        <v>582</v>
      </c>
      <c r="F918" s="226"/>
      <c r="G918" s="294"/>
      <c r="H918" s="294"/>
      <c r="I918" s="294"/>
      <c r="J918" s="315"/>
      <c r="K918" s="614">
        <f t="shared" si="30"/>
        <v>0</v>
      </c>
      <c r="L918" s="614">
        <f t="shared" si="29"/>
        <v>0</v>
      </c>
    </row>
    <row r="919" spans="1:12" ht="30" customHeight="1">
      <c r="A919" s="241" t="s">
        <v>115</v>
      </c>
      <c r="B919" s="329">
        <v>1203</v>
      </c>
      <c r="C919" s="243" t="s">
        <v>499</v>
      </c>
      <c r="D919" s="188">
        <v>6111</v>
      </c>
      <c r="E919" s="192" t="s">
        <v>556</v>
      </c>
      <c r="F919" s="226"/>
      <c r="G919" s="294"/>
      <c r="H919" s="338"/>
      <c r="I919" s="294"/>
      <c r="J919" s="315"/>
      <c r="K919" s="614">
        <f t="shared" si="30"/>
        <v>0</v>
      </c>
      <c r="L919" s="614">
        <f t="shared" si="29"/>
        <v>0</v>
      </c>
    </row>
    <row r="920" spans="1:12" ht="30" customHeight="1">
      <c r="A920" s="241" t="s">
        <v>115</v>
      </c>
      <c r="B920" s="329">
        <v>1203</v>
      </c>
      <c r="C920" s="243" t="s">
        <v>499</v>
      </c>
      <c r="D920" s="188">
        <v>6452</v>
      </c>
      <c r="E920" s="192" t="s">
        <v>182</v>
      </c>
      <c r="F920" s="226"/>
      <c r="G920" s="294"/>
      <c r="H920" s="294"/>
      <c r="I920" s="294"/>
      <c r="J920" s="98"/>
      <c r="K920" s="614">
        <f t="shared" si="30"/>
        <v>0</v>
      </c>
      <c r="L920" s="614">
        <f t="shared" si="29"/>
        <v>0</v>
      </c>
    </row>
    <row r="921" spans="1:12" ht="30" customHeight="1">
      <c r="A921" s="241" t="s">
        <v>115</v>
      </c>
      <c r="B921" s="329">
        <v>1203</v>
      </c>
      <c r="C921" s="243" t="s">
        <v>499</v>
      </c>
      <c r="D921" s="257" t="s">
        <v>20</v>
      </c>
      <c r="E921" s="192"/>
      <c r="F921" s="226"/>
      <c r="G921" s="98">
        <f>SUBTOTAL(109,G917:G918)</f>
        <v>966100</v>
      </c>
      <c r="H921" s="98">
        <f>SUBTOTAL(109,H917:H918)</f>
        <v>241250</v>
      </c>
      <c r="I921" s="98">
        <f>SUBTOTAL(109,I917:I918)</f>
        <v>966100</v>
      </c>
      <c r="J921" s="98"/>
      <c r="K921" s="614">
        <f t="shared" si="30"/>
        <v>966100</v>
      </c>
      <c r="L921" s="614">
        <f t="shared" si="29"/>
        <v>724850</v>
      </c>
    </row>
    <row r="922" spans="1:12" ht="30" customHeight="1">
      <c r="A922" s="241" t="s">
        <v>115</v>
      </c>
      <c r="B922" s="329">
        <v>1204</v>
      </c>
      <c r="C922" s="243" t="s">
        <v>499</v>
      </c>
      <c r="D922" s="252" t="s">
        <v>134</v>
      </c>
      <c r="E922" s="226"/>
      <c r="F922" s="226"/>
      <c r="G922" s="242" t="s">
        <v>293</v>
      </c>
      <c r="H922" s="242"/>
      <c r="I922" s="242"/>
      <c r="J922" s="315"/>
      <c r="K922" s="614">
        <f t="shared" si="30"/>
        <v>0</v>
      </c>
      <c r="L922" s="614">
        <f t="shared" si="29"/>
        <v>0</v>
      </c>
    </row>
    <row r="923" spans="1:12" ht="30" customHeight="1">
      <c r="A923" s="241" t="s">
        <v>115</v>
      </c>
      <c r="B923" s="329">
        <v>1204</v>
      </c>
      <c r="C923" s="243" t="s">
        <v>499</v>
      </c>
      <c r="D923" s="188">
        <v>6611</v>
      </c>
      <c r="E923" s="192" t="s">
        <v>6</v>
      </c>
      <c r="F923" s="226">
        <v>14</v>
      </c>
      <c r="G923" s="242">
        <v>30682800</v>
      </c>
      <c r="H923" s="242">
        <v>25123799.78</v>
      </c>
      <c r="I923" s="242">
        <v>30682800</v>
      </c>
      <c r="J923" s="315"/>
      <c r="K923" s="614">
        <f t="shared" si="30"/>
        <v>30682800</v>
      </c>
      <c r="L923" s="614">
        <f t="shared" si="29"/>
        <v>5559000.219999999</v>
      </c>
    </row>
    <row r="924" spans="1:12" ht="30" customHeight="1">
      <c r="A924" s="241" t="s">
        <v>115</v>
      </c>
      <c r="B924" s="329">
        <v>1204</v>
      </c>
      <c r="C924" s="243" t="s">
        <v>499</v>
      </c>
      <c r="D924" s="188">
        <v>60100</v>
      </c>
      <c r="E924" s="192" t="s">
        <v>7</v>
      </c>
      <c r="F924" s="226"/>
      <c r="G924" s="294">
        <v>1000000</v>
      </c>
      <c r="H924" s="294"/>
      <c r="I924" s="294">
        <v>1000000</v>
      </c>
      <c r="J924" s="315"/>
      <c r="K924" s="614">
        <f t="shared" si="30"/>
        <v>1000000</v>
      </c>
      <c r="L924" s="614">
        <f t="shared" si="29"/>
        <v>1000000</v>
      </c>
    </row>
    <row r="925" spans="1:12" ht="30" customHeight="1">
      <c r="A925" s="241" t="s">
        <v>115</v>
      </c>
      <c r="B925" s="329">
        <v>1204</v>
      </c>
      <c r="C925" s="243" t="s">
        <v>499</v>
      </c>
      <c r="D925" s="188">
        <v>6173</v>
      </c>
      <c r="E925" s="192" t="s">
        <v>19</v>
      </c>
      <c r="F925" s="226"/>
      <c r="G925" s="294">
        <v>87074000</v>
      </c>
      <c r="H925" s="294">
        <v>87066710</v>
      </c>
      <c r="I925" s="294">
        <v>87074000</v>
      </c>
      <c r="J925" s="315"/>
      <c r="K925" s="614">
        <f t="shared" si="30"/>
        <v>87074000</v>
      </c>
      <c r="L925" s="614">
        <f t="shared" si="29"/>
        <v>7290</v>
      </c>
    </row>
    <row r="926" spans="1:12" ht="30" customHeight="1">
      <c r="A926" s="241" t="s">
        <v>115</v>
      </c>
      <c r="B926" s="329">
        <v>1204</v>
      </c>
      <c r="C926" s="243" t="s">
        <v>499</v>
      </c>
      <c r="D926" s="188">
        <v>2041</v>
      </c>
      <c r="E926" s="192" t="s">
        <v>557</v>
      </c>
      <c r="F926" s="226"/>
      <c r="G926" s="294">
        <v>2680000</v>
      </c>
      <c r="H926" s="338"/>
      <c r="I926" s="294">
        <v>2680000</v>
      </c>
      <c r="J926" s="315"/>
      <c r="K926" s="614">
        <f t="shared" si="30"/>
        <v>2680000</v>
      </c>
      <c r="L926" s="614">
        <f t="shared" si="29"/>
        <v>2680000</v>
      </c>
    </row>
    <row r="927" spans="1:12" ht="30" customHeight="1">
      <c r="A927" s="241" t="s">
        <v>115</v>
      </c>
      <c r="B927" s="329">
        <v>1204</v>
      </c>
      <c r="C927" s="243" t="s">
        <v>499</v>
      </c>
      <c r="D927" s="257" t="s">
        <v>20</v>
      </c>
      <c r="E927" s="226"/>
      <c r="F927" s="98">
        <f>SUBTOTAL(109,F923:F925)</f>
        <v>14</v>
      </c>
      <c r="G927" s="98">
        <f>SUBTOTAL(109,G923:G926)</f>
        <v>121436800</v>
      </c>
      <c r="H927" s="98">
        <f>SUBTOTAL(109,H923:H925)</f>
        <v>112190509.78</v>
      </c>
      <c r="I927" s="98">
        <f>SUBTOTAL(109,I923:I926)</f>
        <v>121436800</v>
      </c>
      <c r="J927" s="315"/>
      <c r="K927" s="614">
        <f t="shared" si="30"/>
        <v>121436800</v>
      </c>
      <c r="L927" s="614">
        <f t="shared" si="29"/>
        <v>9246290.219999999</v>
      </c>
    </row>
    <row r="928" spans="1:12" ht="30" customHeight="1">
      <c r="A928" s="241" t="s">
        <v>115</v>
      </c>
      <c r="B928" s="329">
        <v>1205</v>
      </c>
      <c r="C928" s="243" t="s">
        <v>499</v>
      </c>
      <c r="D928" s="254" t="s">
        <v>135</v>
      </c>
      <c r="E928" s="226"/>
      <c r="F928" s="226"/>
      <c r="G928" s="242"/>
      <c r="H928" s="242"/>
      <c r="I928" s="242"/>
      <c r="J928" s="315"/>
      <c r="K928" s="614">
        <f t="shared" si="30"/>
        <v>0</v>
      </c>
      <c r="L928" s="614">
        <f t="shared" si="29"/>
        <v>0</v>
      </c>
    </row>
    <row r="929" spans="1:12" ht="30" customHeight="1">
      <c r="A929" s="241" t="s">
        <v>115</v>
      </c>
      <c r="B929" s="329">
        <v>1205</v>
      </c>
      <c r="C929" s="243" t="s">
        <v>499</v>
      </c>
      <c r="D929" s="188">
        <v>60100</v>
      </c>
      <c r="E929" s="192" t="s">
        <v>7</v>
      </c>
      <c r="F929" s="226"/>
      <c r="G929" s="294">
        <v>848800</v>
      </c>
      <c r="H929" s="292">
        <v>210750</v>
      </c>
      <c r="I929" s="294">
        <f>848800</f>
        <v>848800</v>
      </c>
      <c r="J929" s="315"/>
      <c r="K929" s="614">
        <f t="shared" si="30"/>
        <v>848800</v>
      </c>
      <c r="L929" s="614">
        <f t="shared" si="29"/>
        <v>638050</v>
      </c>
    </row>
    <row r="930" spans="1:12" ht="30" customHeight="1">
      <c r="A930" s="241" t="s">
        <v>115</v>
      </c>
      <c r="B930" s="329">
        <v>1205</v>
      </c>
      <c r="C930" s="243" t="s">
        <v>499</v>
      </c>
      <c r="D930" s="188">
        <v>6122</v>
      </c>
      <c r="E930" s="235" t="s">
        <v>582</v>
      </c>
      <c r="F930" s="226"/>
      <c r="G930" s="294">
        <v>0</v>
      </c>
      <c r="H930" s="294"/>
      <c r="I930" s="294">
        <v>0</v>
      </c>
      <c r="J930" s="315"/>
      <c r="K930" s="614">
        <f t="shared" si="30"/>
        <v>0</v>
      </c>
      <c r="L930" s="614">
        <f t="shared" si="29"/>
        <v>0</v>
      </c>
    </row>
    <row r="931" spans="1:12" ht="30" customHeight="1">
      <c r="A931" s="241" t="s">
        <v>115</v>
      </c>
      <c r="B931" s="329">
        <v>1205</v>
      </c>
      <c r="C931" s="243" t="s">
        <v>499</v>
      </c>
      <c r="D931" s="188">
        <v>6452</v>
      </c>
      <c r="E931" s="179" t="s">
        <v>182</v>
      </c>
      <c r="F931" s="226"/>
      <c r="G931" s="294"/>
      <c r="H931" s="338"/>
      <c r="I931" s="294"/>
      <c r="J931" s="98"/>
      <c r="K931" s="614">
        <f t="shared" si="30"/>
        <v>0</v>
      </c>
      <c r="L931" s="614">
        <f t="shared" si="29"/>
        <v>0</v>
      </c>
    </row>
    <row r="932" spans="1:12" ht="30" customHeight="1">
      <c r="A932" s="241" t="s">
        <v>115</v>
      </c>
      <c r="B932" s="329">
        <v>1205</v>
      </c>
      <c r="C932" s="243" t="s">
        <v>499</v>
      </c>
      <c r="D932" s="257" t="s">
        <v>20</v>
      </c>
      <c r="E932" s="226"/>
      <c r="F932" s="226"/>
      <c r="G932" s="98">
        <f>SUBTOTAL(109,G929:G930)</f>
        <v>848800</v>
      </c>
      <c r="H932" s="98">
        <f>SUBTOTAL(109,H929:H930)</f>
        <v>210750</v>
      </c>
      <c r="I932" s="98">
        <f>SUBTOTAL(109,I929:I930)</f>
        <v>848800</v>
      </c>
      <c r="J932" s="98"/>
      <c r="K932" s="614">
        <f t="shared" si="30"/>
        <v>848800</v>
      </c>
      <c r="L932" s="614">
        <f t="shared" si="29"/>
        <v>638050</v>
      </c>
    </row>
    <row r="933" spans="1:12" ht="30" customHeight="1">
      <c r="A933" s="241" t="s">
        <v>115</v>
      </c>
      <c r="B933" s="329">
        <v>1206</v>
      </c>
      <c r="C933" s="243" t="s">
        <v>500</v>
      </c>
      <c r="D933" s="254" t="s">
        <v>136</v>
      </c>
      <c r="E933" s="272"/>
      <c r="F933" s="272"/>
      <c r="G933" s="242"/>
      <c r="H933" s="242"/>
      <c r="I933" s="242"/>
      <c r="J933" s="315"/>
      <c r="K933" s="614">
        <f t="shared" si="30"/>
        <v>0</v>
      </c>
      <c r="L933" s="614">
        <f t="shared" si="29"/>
        <v>0</v>
      </c>
    </row>
    <row r="934" spans="1:12" ht="30" customHeight="1">
      <c r="A934" s="241" t="s">
        <v>115</v>
      </c>
      <c r="B934" s="329">
        <v>1206</v>
      </c>
      <c r="C934" s="243" t="s">
        <v>500</v>
      </c>
      <c r="D934" s="188">
        <v>6611</v>
      </c>
      <c r="E934" s="192" t="s">
        <v>6</v>
      </c>
      <c r="F934" s="226">
        <v>73</v>
      </c>
      <c r="G934" s="242">
        <v>240000000</v>
      </c>
      <c r="H934" s="242">
        <v>229901679.80999997</v>
      </c>
      <c r="I934" s="242">
        <v>240000000</v>
      </c>
      <c r="J934" s="315"/>
      <c r="K934" s="614">
        <f t="shared" si="30"/>
        <v>240000000</v>
      </c>
      <c r="L934" s="614">
        <f t="shared" si="29"/>
        <v>10098320.190000027</v>
      </c>
    </row>
    <row r="935" spans="1:12" ht="30" customHeight="1">
      <c r="A935" s="241" t="s">
        <v>115</v>
      </c>
      <c r="B935" s="329">
        <v>1206</v>
      </c>
      <c r="C935" s="243" t="s">
        <v>500</v>
      </c>
      <c r="D935" s="188">
        <v>60100</v>
      </c>
      <c r="E935" s="192" t="s">
        <v>7</v>
      </c>
      <c r="F935" s="226"/>
      <c r="G935" s="294">
        <v>1715000</v>
      </c>
      <c r="H935" s="294">
        <v>410250</v>
      </c>
      <c r="I935" s="294">
        <v>1715000</v>
      </c>
      <c r="J935" s="315"/>
      <c r="K935" s="614">
        <f t="shared" si="30"/>
        <v>1715000</v>
      </c>
      <c r="L935" s="614">
        <f t="shared" si="29"/>
        <v>1304750</v>
      </c>
    </row>
    <row r="936" spans="1:12" ht="30" customHeight="1">
      <c r="A936" s="241" t="s">
        <v>115</v>
      </c>
      <c r="B936" s="329">
        <v>1206</v>
      </c>
      <c r="C936" s="243" t="s">
        <v>500</v>
      </c>
      <c r="D936" s="188">
        <v>60101</v>
      </c>
      <c r="E936" s="192" t="s">
        <v>297</v>
      </c>
      <c r="F936" s="226"/>
      <c r="G936" s="294"/>
      <c r="H936" s="338"/>
      <c r="I936" s="294"/>
      <c r="J936" s="315"/>
      <c r="K936" s="614">
        <f t="shared" si="30"/>
        <v>0</v>
      </c>
      <c r="L936" s="614">
        <f t="shared" si="29"/>
        <v>0</v>
      </c>
    </row>
    <row r="937" spans="1:12" ht="30" customHeight="1">
      <c r="A937" s="241" t="s">
        <v>115</v>
      </c>
      <c r="B937" s="329">
        <v>1206</v>
      </c>
      <c r="C937" s="243" t="s">
        <v>500</v>
      </c>
      <c r="D937" s="188">
        <v>6133</v>
      </c>
      <c r="E937" s="192" t="s">
        <v>110</v>
      </c>
      <c r="F937" s="356"/>
      <c r="G937" s="294">
        <v>3065000</v>
      </c>
      <c r="H937" s="294"/>
      <c r="I937" s="294">
        <v>3065000</v>
      </c>
      <c r="J937" s="315"/>
      <c r="K937" s="614">
        <f t="shared" si="30"/>
        <v>3065000</v>
      </c>
      <c r="L937" s="614">
        <f t="shared" si="29"/>
        <v>3065000</v>
      </c>
    </row>
    <row r="938" spans="1:12" ht="30" customHeight="1">
      <c r="A938" s="241" t="s">
        <v>115</v>
      </c>
      <c r="B938" s="329">
        <v>1206</v>
      </c>
      <c r="C938" s="243" t="s">
        <v>500</v>
      </c>
      <c r="D938" s="188">
        <v>6122</v>
      </c>
      <c r="E938" s="235" t="s">
        <v>582</v>
      </c>
      <c r="F938" s="226"/>
      <c r="G938" s="294">
        <v>976000</v>
      </c>
      <c r="H938" s="294"/>
      <c r="I938" s="294">
        <v>976000</v>
      </c>
      <c r="J938" s="315"/>
      <c r="K938" s="614">
        <f t="shared" si="30"/>
        <v>976000</v>
      </c>
      <c r="L938" s="614">
        <f t="shared" si="29"/>
        <v>976000</v>
      </c>
    </row>
    <row r="939" spans="1:12" ht="30" customHeight="1">
      <c r="A939" s="241" t="s">
        <v>115</v>
      </c>
      <c r="B939" s="329">
        <v>1206</v>
      </c>
      <c r="C939" s="243" t="s">
        <v>500</v>
      </c>
      <c r="D939" s="188">
        <v>6112</v>
      </c>
      <c r="E939" s="192" t="s">
        <v>236</v>
      </c>
      <c r="F939" s="226"/>
      <c r="G939" s="294"/>
      <c r="H939" s="294"/>
      <c r="I939" s="294"/>
      <c r="J939" s="98"/>
      <c r="K939" s="614">
        <f t="shared" si="30"/>
        <v>0</v>
      </c>
      <c r="L939" s="614">
        <f t="shared" si="29"/>
        <v>0</v>
      </c>
    </row>
    <row r="940" spans="1:12" ht="30" customHeight="1">
      <c r="A940" s="241" t="s">
        <v>115</v>
      </c>
      <c r="B940" s="329">
        <v>1206</v>
      </c>
      <c r="C940" s="243" t="s">
        <v>500</v>
      </c>
      <c r="D940" s="188">
        <v>2121</v>
      </c>
      <c r="E940" s="192" t="s">
        <v>590</v>
      </c>
      <c r="F940" s="226"/>
      <c r="G940" s="294"/>
      <c r="H940" s="294"/>
      <c r="I940" s="294"/>
      <c r="J940" s="98"/>
      <c r="K940" s="614">
        <f t="shared" si="30"/>
        <v>0</v>
      </c>
      <c r="L940" s="614">
        <f t="shared" si="29"/>
        <v>0</v>
      </c>
    </row>
    <row r="941" spans="1:12" ht="30" customHeight="1">
      <c r="A941" s="241" t="s">
        <v>115</v>
      </c>
      <c r="B941" s="329">
        <v>1206</v>
      </c>
      <c r="C941" s="243" t="s">
        <v>500</v>
      </c>
      <c r="D941" s="188">
        <v>2164</v>
      </c>
      <c r="E941" s="192" t="s">
        <v>283</v>
      </c>
      <c r="F941" s="226"/>
      <c r="G941" s="294"/>
      <c r="H941" s="294"/>
      <c r="I941" s="294"/>
      <c r="J941" s="315"/>
      <c r="K941" s="614">
        <f t="shared" si="30"/>
        <v>0</v>
      </c>
      <c r="L941" s="614">
        <f t="shared" si="29"/>
        <v>0</v>
      </c>
    </row>
    <row r="942" spans="1:12" ht="30" customHeight="1">
      <c r="A942" s="241" t="s">
        <v>115</v>
      </c>
      <c r="B942" s="329">
        <v>1206</v>
      </c>
      <c r="C942" s="243" t="s">
        <v>500</v>
      </c>
      <c r="D942" s="188">
        <v>2171</v>
      </c>
      <c r="E942" s="192" t="s">
        <v>284</v>
      </c>
      <c r="F942" s="226"/>
      <c r="G942" s="294"/>
      <c r="H942" s="294"/>
      <c r="I942" s="294"/>
      <c r="J942" s="315"/>
      <c r="K942" s="614">
        <f t="shared" si="30"/>
        <v>0</v>
      </c>
      <c r="L942" s="614">
        <f t="shared" si="29"/>
        <v>0</v>
      </c>
    </row>
    <row r="943" spans="1:12" ht="30" customHeight="1">
      <c r="A943" s="241" t="s">
        <v>115</v>
      </c>
      <c r="B943" s="329">
        <v>1206</v>
      </c>
      <c r="C943" s="243" t="s">
        <v>500</v>
      </c>
      <c r="D943" s="257" t="s">
        <v>20</v>
      </c>
      <c r="E943" s="226"/>
      <c r="F943" s="226"/>
      <c r="G943" s="98">
        <f>SUBTOTAL(109,G934:G938)</f>
        <v>245756000</v>
      </c>
      <c r="H943" s="98">
        <f>SUBTOTAL(109,H934:H938)</f>
        <v>230311929.80999997</v>
      </c>
      <c r="I943" s="98">
        <f>SUBTOTAL(109,I934:I938)</f>
        <v>245756000</v>
      </c>
      <c r="J943" s="98"/>
      <c r="K943" s="614">
        <f t="shared" si="30"/>
        <v>245756000</v>
      </c>
      <c r="L943" s="614">
        <f t="shared" si="29"/>
        <v>15444070.190000027</v>
      </c>
    </row>
    <row r="944" spans="1:12" ht="30" customHeight="1">
      <c r="A944" s="241" t="s">
        <v>115</v>
      </c>
      <c r="B944" s="329">
        <v>1209</v>
      </c>
      <c r="C944" s="243" t="s">
        <v>493</v>
      </c>
      <c r="D944" s="254" t="s">
        <v>139</v>
      </c>
      <c r="E944" s="226"/>
      <c r="F944" s="226"/>
      <c r="G944" s="242"/>
      <c r="H944" s="242"/>
      <c r="I944" s="242"/>
      <c r="J944" s="98"/>
      <c r="K944" s="614">
        <f t="shared" si="30"/>
        <v>0</v>
      </c>
      <c r="L944" s="614">
        <f t="shared" si="29"/>
        <v>0</v>
      </c>
    </row>
    <row r="945" spans="1:12" ht="30" customHeight="1">
      <c r="A945" s="241" t="s">
        <v>115</v>
      </c>
      <c r="B945" s="329">
        <v>1209</v>
      </c>
      <c r="C945" s="243" t="s">
        <v>493</v>
      </c>
      <c r="D945" s="188">
        <v>6611</v>
      </c>
      <c r="E945" s="192" t="s">
        <v>6</v>
      </c>
      <c r="F945" s="226"/>
      <c r="G945" s="242"/>
      <c r="H945" s="242"/>
      <c r="I945" s="242"/>
      <c r="J945" s="315"/>
      <c r="K945" s="614">
        <f t="shared" si="30"/>
        <v>0</v>
      </c>
      <c r="L945" s="614">
        <f t="shared" si="29"/>
        <v>0</v>
      </c>
    </row>
    <row r="946" spans="1:12" ht="30" customHeight="1">
      <c r="A946" s="241" t="s">
        <v>115</v>
      </c>
      <c r="B946" s="329">
        <v>1209</v>
      </c>
      <c r="C946" s="243" t="s">
        <v>493</v>
      </c>
      <c r="D946" s="187">
        <v>6311</v>
      </c>
      <c r="E946" s="194" t="s">
        <v>271</v>
      </c>
      <c r="F946" s="253"/>
      <c r="G946" s="294">
        <v>4050000</v>
      </c>
      <c r="H946" s="294">
        <v>4050000</v>
      </c>
      <c r="I946" s="98">
        <v>4050000</v>
      </c>
      <c r="J946" s="315"/>
      <c r="K946" s="614">
        <f t="shared" si="30"/>
        <v>4050000</v>
      </c>
      <c r="L946" s="614">
        <f t="shared" si="29"/>
        <v>0</v>
      </c>
    </row>
    <row r="947" spans="1:12" ht="30" customHeight="1">
      <c r="A947" s="241" t="s">
        <v>115</v>
      </c>
      <c r="B947" s="329">
        <v>1209</v>
      </c>
      <c r="C947" s="243" t="s">
        <v>493</v>
      </c>
      <c r="D947" s="257" t="s">
        <v>20</v>
      </c>
      <c r="E947" s="226"/>
      <c r="F947" s="226"/>
      <c r="G947" s="98">
        <f>SUBTOTAL(109,G946:G946)</f>
        <v>4050000</v>
      </c>
      <c r="H947" s="98">
        <f>SUBTOTAL(109,H946:H946)</f>
        <v>4050000</v>
      </c>
      <c r="I947" s="98">
        <f>SUBTOTAL(109,I946:I946)</f>
        <v>4050000</v>
      </c>
      <c r="J947" s="98"/>
      <c r="K947" s="614">
        <f t="shared" si="30"/>
        <v>4050000</v>
      </c>
      <c r="L947" s="614">
        <f t="shared" si="29"/>
        <v>0</v>
      </c>
    </row>
    <row r="948" spans="1:12" ht="30" customHeight="1">
      <c r="A948" s="241" t="s">
        <v>115</v>
      </c>
      <c r="B948" s="329">
        <v>1210</v>
      </c>
      <c r="C948" s="243" t="s">
        <v>502</v>
      </c>
      <c r="D948" s="254" t="s">
        <v>140</v>
      </c>
      <c r="E948" s="226"/>
      <c r="F948" s="226"/>
      <c r="G948" s="242"/>
      <c r="H948" s="242"/>
      <c r="I948" s="242"/>
      <c r="J948" s="98"/>
      <c r="K948" s="614">
        <f t="shared" si="30"/>
        <v>0</v>
      </c>
      <c r="L948" s="614">
        <f t="shared" si="29"/>
        <v>0</v>
      </c>
    </row>
    <row r="949" spans="1:12" ht="30" customHeight="1">
      <c r="A949" s="241" t="s">
        <v>115</v>
      </c>
      <c r="B949" s="329">
        <v>1210</v>
      </c>
      <c r="C949" s="243" t="s">
        <v>502</v>
      </c>
      <c r="D949" s="188">
        <v>6611</v>
      </c>
      <c r="E949" s="192" t="s">
        <v>6</v>
      </c>
      <c r="F949" s="226">
        <v>25</v>
      </c>
      <c r="G949" s="242">
        <v>64788004</v>
      </c>
      <c r="H949" s="242">
        <v>61727867</v>
      </c>
      <c r="I949" s="242">
        <v>64788004</v>
      </c>
      <c r="J949" s="315"/>
      <c r="K949" s="614">
        <f t="shared" si="30"/>
        <v>64788004</v>
      </c>
      <c r="L949" s="614">
        <f t="shared" si="29"/>
        <v>3060137</v>
      </c>
    </row>
    <row r="950" spans="1:12" ht="30" customHeight="1">
      <c r="A950" s="241" t="s">
        <v>115</v>
      </c>
      <c r="B950" s="329">
        <v>1210</v>
      </c>
      <c r="C950" s="243" t="s">
        <v>502</v>
      </c>
      <c r="D950" s="187">
        <v>6311</v>
      </c>
      <c r="E950" s="194" t="s">
        <v>271</v>
      </c>
      <c r="F950" s="253"/>
      <c r="G950" s="294">
        <v>5000000</v>
      </c>
      <c r="H950" s="294">
        <v>3750000</v>
      </c>
      <c r="I950" s="294">
        <v>5000000</v>
      </c>
      <c r="J950" s="315"/>
      <c r="K950" s="614">
        <f t="shared" si="30"/>
        <v>5000000</v>
      </c>
      <c r="L950" s="614">
        <f t="shared" si="29"/>
        <v>1250000</v>
      </c>
    </row>
    <row r="951" spans="1:12" ht="30" customHeight="1">
      <c r="A951" s="241" t="s">
        <v>115</v>
      </c>
      <c r="B951" s="329">
        <v>1210</v>
      </c>
      <c r="C951" s="243" t="s">
        <v>502</v>
      </c>
      <c r="D951" s="257" t="s">
        <v>20</v>
      </c>
      <c r="E951" s="192"/>
      <c r="F951" s="98">
        <f>SUBTOTAL(109,F949:F950)</f>
        <v>25</v>
      </c>
      <c r="G951" s="98">
        <f>SUBTOTAL(109,G949:G950)</f>
        <v>69788004</v>
      </c>
      <c r="H951" s="98">
        <f>SUBTOTAL(109,H949:H950)</f>
        <v>65477867</v>
      </c>
      <c r="I951" s="98">
        <f>SUBTOTAL(109,I949:I950)</f>
        <v>69788004</v>
      </c>
      <c r="J951" s="98"/>
      <c r="K951" s="614">
        <f t="shared" si="30"/>
        <v>69788004</v>
      </c>
      <c r="L951" s="614">
        <f t="shared" si="29"/>
        <v>4310137</v>
      </c>
    </row>
    <row r="952" spans="1:12" ht="30" customHeight="1">
      <c r="A952" s="241" t="s">
        <v>115</v>
      </c>
      <c r="B952" s="329">
        <v>1211</v>
      </c>
      <c r="C952" s="243" t="s">
        <v>503</v>
      </c>
      <c r="D952" s="252" t="s">
        <v>141</v>
      </c>
      <c r="E952" s="226"/>
      <c r="F952" s="226"/>
      <c r="G952" s="242"/>
      <c r="H952" s="242"/>
      <c r="I952" s="242"/>
      <c r="J952" s="98"/>
      <c r="K952" s="614">
        <f t="shared" si="30"/>
        <v>0</v>
      </c>
      <c r="L952" s="614">
        <f t="shared" si="29"/>
        <v>0</v>
      </c>
    </row>
    <row r="953" spans="1:12" ht="30" customHeight="1">
      <c r="A953" s="241" t="s">
        <v>115</v>
      </c>
      <c r="B953" s="329">
        <v>1211</v>
      </c>
      <c r="C953" s="243" t="s">
        <v>503</v>
      </c>
      <c r="D953" s="187">
        <v>6311</v>
      </c>
      <c r="E953" s="194" t="s">
        <v>271</v>
      </c>
      <c r="F953" s="253"/>
      <c r="G953" s="294">
        <v>3000000</v>
      </c>
      <c r="H953" s="294"/>
      <c r="I953" s="294">
        <v>3000000</v>
      </c>
      <c r="J953" s="315"/>
      <c r="K953" s="614">
        <f t="shared" si="30"/>
        <v>3000000</v>
      </c>
      <c r="L953" s="614">
        <f t="shared" si="29"/>
        <v>3000000</v>
      </c>
    </row>
    <row r="954" spans="1:12" ht="30" customHeight="1">
      <c r="A954" s="241" t="s">
        <v>115</v>
      </c>
      <c r="B954" s="329">
        <v>1211</v>
      </c>
      <c r="C954" s="243" t="s">
        <v>503</v>
      </c>
      <c r="D954" s="188">
        <v>6312</v>
      </c>
      <c r="E954" s="192" t="s">
        <v>270</v>
      </c>
      <c r="F954" s="226">
        <v>43</v>
      </c>
      <c r="G954" s="294">
        <v>104766396</v>
      </c>
      <c r="H954" s="294">
        <v>91452267</v>
      </c>
      <c r="I954" s="294">
        <v>104766396</v>
      </c>
      <c r="J954" s="315"/>
      <c r="K954" s="614">
        <f t="shared" si="30"/>
        <v>104766396</v>
      </c>
      <c r="L954" s="614">
        <f t="shared" si="29"/>
        <v>13314129</v>
      </c>
    </row>
    <row r="955" spans="1:12" ht="30" customHeight="1">
      <c r="A955" s="241" t="s">
        <v>115</v>
      </c>
      <c r="B955" s="329">
        <v>1211</v>
      </c>
      <c r="C955" s="243" t="s">
        <v>503</v>
      </c>
      <c r="D955" s="257" t="s">
        <v>20</v>
      </c>
      <c r="E955" s="226"/>
      <c r="F955" s="226"/>
      <c r="G955" s="98">
        <f>SUBTOTAL(109,G953:G954)</f>
        <v>107766396</v>
      </c>
      <c r="H955" s="98">
        <f>SUBTOTAL(109,H953:H954)</f>
        <v>91452267</v>
      </c>
      <c r="I955" s="98">
        <f>SUBTOTAL(109,I953:I954)</f>
        <v>107766396</v>
      </c>
      <c r="J955" s="315"/>
      <c r="K955" s="614">
        <f t="shared" si="30"/>
        <v>107766396</v>
      </c>
      <c r="L955" s="614">
        <f t="shared" si="29"/>
        <v>16314129</v>
      </c>
    </row>
    <row r="956" spans="1:12" ht="30" customHeight="1">
      <c r="A956" s="241" t="s">
        <v>115</v>
      </c>
      <c r="B956" s="329">
        <v>1212</v>
      </c>
      <c r="C956" s="243" t="s">
        <v>504</v>
      </c>
      <c r="D956" s="306" t="s">
        <v>142</v>
      </c>
      <c r="E956" s="307"/>
      <c r="F956" s="226"/>
      <c r="G956" s="242"/>
      <c r="H956" s="242"/>
      <c r="I956" s="242"/>
      <c r="J956" s="315"/>
      <c r="K956" s="614">
        <f t="shared" si="30"/>
        <v>0</v>
      </c>
      <c r="L956" s="614">
        <f t="shared" si="29"/>
        <v>0</v>
      </c>
    </row>
    <row r="957" spans="1:12" ht="30" customHeight="1">
      <c r="A957" s="241" t="s">
        <v>115</v>
      </c>
      <c r="B957" s="329">
        <v>1212</v>
      </c>
      <c r="C957" s="243" t="s">
        <v>504</v>
      </c>
      <c r="D957" s="187">
        <v>6311</v>
      </c>
      <c r="E957" s="194" t="s">
        <v>271</v>
      </c>
      <c r="F957" s="253"/>
      <c r="G957" s="294">
        <v>903172683.49</v>
      </c>
      <c r="H957" s="294">
        <v>1487172683</v>
      </c>
      <c r="I957" s="294">
        <f>876866683*(1+0.03)+584000000</f>
        <v>1487172683.49</v>
      </c>
      <c r="K957" s="614">
        <f t="shared" si="30"/>
        <v>1487172683.49</v>
      </c>
      <c r="L957" s="614">
        <f t="shared" si="29"/>
        <v>0.49000000953674316</v>
      </c>
    </row>
    <row r="958" spans="1:12" ht="30" customHeight="1">
      <c r="A958" s="241" t="s">
        <v>115</v>
      </c>
      <c r="B958" s="329">
        <v>1212</v>
      </c>
      <c r="C958" s="243" t="s">
        <v>504</v>
      </c>
      <c r="D958" s="308">
        <v>2121</v>
      </c>
      <c r="E958" s="194" t="s">
        <v>568</v>
      </c>
      <c r="F958" s="253"/>
      <c r="G958" s="294"/>
      <c r="H958" s="338"/>
      <c r="I958" s="294"/>
      <c r="J958" s="315"/>
      <c r="K958" s="614">
        <f t="shared" si="30"/>
        <v>0</v>
      </c>
      <c r="L958" s="614">
        <f t="shared" si="29"/>
        <v>0</v>
      </c>
    </row>
    <row r="959" spans="1:12" ht="30" customHeight="1">
      <c r="A959" s="241" t="s">
        <v>115</v>
      </c>
      <c r="B959" s="329">
        <v>1212</v>
      </c>
      <c r="C959" s="243" t="s">
        <v>504</v>
      </c>
      <c r="D959" s="257" t="s">
        <v>20</v>
      </c>
      <c r="E959" s="226"/>
      <c r="F959" s="226"/>
      <c r="G959" s="98">
        <f>SUBTOTAL(109,G957:G957)</f>
        <v>903172683.49</v>
      </c>
      <c r="H959" s="98">
        <f>SUBTOTAL(109,H957:H957)</f>
        <v>1487172683</v>
      </c>
      <c r="I959" s="98">
        <f>SUBTOTAL(109,I957:I957)</f>
        <v>1487172683.49</v>
      </c>
      <c r="J959" s="315"/>
      <c r="K959" s="614">
        <f t="shared" si="30"/>
        <v>1487172683.49</v>
      </c>
      <c r="L959" s="614">
        <f t="shared" si="29"/>
        <v>0.49000000953674316</v>
      </c>
    </row>
    <row r="960" spans="1:12" ht="30" customHeight="1">
      <c r="A960" s="241" t="s">
        <v>115</v>
      </c>
      <c r="B960" s="329">
        <v>1213</v>
      </c>
      <c r="C960" s="243" t="s">
        <v>503</v>
      </c>
      <c r="D960" s="254" t="s">
        <v>627</v>
      </c>
      <c r="E960" s="226"/>
      <c r="F960" s="226"/>
      <c r="G960" s="242"/>
      <c r="H960" s="242"/>
      <c r="I960" s="242"/>
      <c r="J960" s="315"/>
      <c r="K960" s="614">
        <f t="shared" si="30"/>
        <v>0</v>
      </c>
      <c r="L960" s="614">
        <f t="shared" si="29"/>
        <v>0</v>
      </c>
    </row>
    <row r="961" spans="1:12" ht="30" customHeight="1">
      <c r="A961" s="241" t="s">
        <v>115</v>
      </c>
      <c r="B961" s="329">
        <v>1213</v>
      </c>
      <c r="C961" s="243" t="s">
        <v>503</v>
      </c>
      <c r="D961" s="187">
        <v>6311</v>
      </c>
      <c r="E961" s="194" t="s">
        <v>271</v>
      </c>
      <c r="F961" s="253"/>
      <c r="G961" s="294">
        <v>2000000</v>
      </c>
      <c r="H961" s="294"/>
      <c r="I961" s="294">
        <v>2000000</v>
      </c>
      <c r="J961" s="315"/>
      <c r="K961" s="614">
        <f t="shared" si="30"/>
        <v>2000000</v>
      </c>
      <c r="L961" s="614">
        <f t="shared" si="29"/>
        <v>2000000</v>
      </c>
    </row>
    <row r="962" spans="1:12" ht="30" customHeight="1">
      <c r="A962" s="241" t="s">
        <v>115</v>
      </c>
      <c r="B962" s="329">
        <v>1213</v>
      </c>
      <c r="C962" s="243" t="s">
        <v>503</v>
      </c>
      <c r="D962" s="188">
        <v>6312</v>
      </c>
      <c r="E962" s="192" t="s">
        <v>270</v>
      </c>
      <c r="F962" s="226">
        <f>20+9</f>
        <v>29</v>
      </c>
      <c r="G962" s="294">
        <v>41424804</v>
      </c>
      <c r="H962" s="294">
        <v>37973067</v>
      </c>
      <c r="I962" s="294">
        <v>41424804</v>
      </c>
      <c r="J962" s="98"/>
      <c r="K962" s="614">
        <f t="shared" si="30"/>
        <v>41424804</v>
      </c>
      <c r="L962" s="614">
        <f t="shared" si="29"/>
        <v>3451737</v>
      </c>
    </row>
    <row r="963" spans="1:12" ht="30" customHeight="1">
      <c r="A963" s="241" t="s">
        <v>115</v>
      </c>
      <c r="B963" s="329">
        <v>1213</v>
      </c>
      <c r="C963" s="243" t="s">
        <v>503</v>
      </c>
      <c r="D963" s="257" t="s">
        <v>20</v>
      </c>
      <c r="E963" s="226"/>
      <c r="F963" s="98"/>
      <c r="G963" s="98">
        <f>SUBTOTAL(109,G961:G962)</f>
        <v>43424804</v>
      </c>
      <c r="H963" s="98">
        <f>SUBTOTAL(109,H961:H962)</f>
        <v>37973067</v>
      </c>
      <c r="I963" s="98">
        <f>SUBTOTAL(109,I961:I962)</f>
        <v>43424804</v>
      </c>
      <c r="J963" s="98"/>
      <c r="K963" s="614">
        <f t="shared" si="30"/>
        <v>43424804</v>
      </c>
      <c r="L963" s="614">
        <f t="shared" si="29"/>
        <v>5451737</v>
      </c>
    </row>
    <row r="964" spans="1:12" ht="30" customHeight="1">
      <c r="A964" s="241" t="s">
        <v>115</v>
      </c>
      <c r="B964" s="329">
        <v>1214</v>
      </c>
      <c r="C964" s="243" t="s">
        <v>499</v>
      </c>
      <c r="D964" s="254" t="s">
        <v>144</v>
      </c>
      <c r="E964" s="226"/>
      <c r="F964" s="226"/>
      <c r="G964" s="242"/>
      <c r="H964" s="242"/>
      <c r="I964" s="242"/>
      <c r="J964" s="315"/>
      <c r="K964" s="614">
        <f t="shared" si="30"/>
        <v>0</v>
      </c>
      <c r="L964" s="614">
        <f t="shared" si="29"/>
        <v>0</v>
      </c>
    </row>
    <row r="965" spans="1:12" ht="30" customHeight="1">
      <c r="A965" s="241" t="s">
        <v>115</v>
      </c>
      <c r="B965" s="329">
        <v>1214</v>
      </c>
      <c r="C965" s="243" t="s">
        <v>499</v>
      </c>
      <c r="D965" s="188">
        <v>6611</v>
      </c>
      <c r="E965" s="192" t="s">
        <v>6</v>
      </c>
      <c r="F965" s="226">
        <v>9</v>
      </c>
      <c r="G965" s="242">
        <v>20566404</v>
      </c>
      <c r="H965" s="242">
        <v>12183600.42</v>
      </c>
      <c r="I965" s="242">
        <v>20566404</v>
      </c>
      <c r="J965" s="315"/>
      <c r="K965" s="614">
        <f t="shared" si="30"/>
        <v>20566404</v>
      </c>
      <c r="L965" s="614">
        <f t="shared" si="29"/>
        <v>8382803.58</v>
      </c>
    </row>
    <row r="966" spans="1:12" ht="30" customHeight="1">
      <c r="A966" s="241" t="s">
        <v>115</v>
      </c>
      <c r="B966" s="329">
        <v>1214</v>
      </c>
      <c r="C966" s="243" t="s">
        <v>499</v>
      </c>
      <c r="D966" s="188">
        <v>60100</v>
      </c>
      <c r="E966" s="192" t="s">
        <v>7</v>
      </c>
      <c r="F966" s="226"/>
      <c r="G966" s="294">
        <v>1500000</v>
      </c>
      <c r="H966" s="294">
        <v>375000</v>
      </c>
      <c r="I966" s="294">
        <v>1500000</v>
      </c>
      <c r="J966" s="315"/>
      <c r="K966" s="614">
        <f t="shared" si="30"/>
        <v>1500000</v>
      </c>
      <c r="L966" s="614">
        <f t="shared" si="29"/>
        <v>1125000</v>
      </c>
    </row>
    <row r="967" spans="1:12" ht="30" customHeight="1">
      <c r="A967" s="241" t="s">
        <v>115</v>
      </c>
      <c r="B967" s="329">
        <v>1214</v>
      </c>
      <c r="C967" s="243" t="s">
        <v>499</v>
      </c>
      <c r="D967" s="188">
        <v>60101</v>
      </c>
      <c r="E967" s="192" t="s">
        <v>297</v>
      </c>
      <c r="F967" s="226"/>
      <c r="G967" s="294"/>
      <c r="H967" s="338"/>
      <c r="I967" s="294"/>
      <c r="J967" s="315"/>
      <c r="K967" s="614">
        <f t="shared" si="30"/>
        <v>0</v>
      </c>
      <c r="L967" s="614">
        <f aca="true" t="shared" si="31" ref="L967:L1030">K967-H967</f>
        <v>0</v>
      </c>
    </row>
    <row r="968" spans="1:12" ht="30" customHeight="1">
      <c r="A968" s="241" t="s">
        <v>115</v>
      </c>
      <c r="B968" s="329">
        <v>1214</v>
      </c>
      <c r="C968" s="243" t="s">
        <v>499</v>
      </c>
      <c r="D968" s="188">
        <v>6122</v>
      </c>
      <c r="E968" s="235" t="s">
        <v>582</v>
      </c>
      <c r="F968" s="226"/>
      <c r="G968" s="294">
        <v>750000</v>
      </c>
      <c r="H968" s="294">
        <v>187500</v>
      </c>
      <c r="I968" s="294">
        <v>750000</v>
      </c>
      <c r="J968" s="315"/>
      <c r="K968" s="614">
        <f t="shared" si="30"/>
        <v>750000</v>
      </c>
      <c r="L968" s="614">
        <f t="shared" si="31"/>
        <v>562500</v>
      </c>
    </row>
    <row r="969" spans="1:12" ht="30" customHeight="1">
      <c r="A969" s="241" t="s">
        <v>115</v>
      </c>
      <c r="B969" s="329">
        <v>1214</v>
      </c>
      <c r="C969" s="243" t="s">
        <v>499</v>
      </c>
      <c r="D969" s="188">
        <v>6112</v>
      </c>
      <c r="E969" s="192" t="s">
        <v>236</v>
      </c>
      <c r="F969" s="226"/>
      <c r="G969" s="294"/>
      <c r="H969" s="294"/>
      <c r="I969" s="294"/>
      <c r="J969" s="315"/>
      <c r="K969" s="614">
        <f t="shared" si="30"/>
        <v>0</v>
      </c>
      <c r="L969" s="614">
        <f t="shared" si="31"/>
        <v>0</v>
      </c>
    </row>
    <row r="970" spans="1:12" ht="30" customHeight="1">
      <c r="A970" s="241" t="s">
        <v>115</v>
      </c>
      <c r="B970" s="329">
        <v>1214</v>
      </c>
      <c r="C970" s="243" t="s">
        <v>499</v>
      </c>
      <c r="D970" s="188">
        <v>6173</v>
      </c>
      <c r="E970" s="179" t="s">
        <v>599</v>
      </c>
      <c r="F970" s="226"/>
      <c r="G970" s="294"/>
      <c r="H970" s="338"/>
      <c r="I970" s="294"/>
      <c r="J970" s="315"/>
      <c r="K970" s="614">
        <f t="shared" si="30"/>
        <v>0</v>
      </c>
      <c r="L970" s="614">
        <f t="shared" si="31"/>
        <v>0</v>
      </c>
    </row>
    <row r="971" spans="1:12" ht="30" customHeight="1">
      <c r="A971" s="241" t="s">
        <v>115</v>
      </c>
      <c r="B971" s="329">
        <v>1214</v>
      </c>
      <c r="C971" s="243" t="s">
        <v>499</v>
      </c>
      <c r="D971" s="188">
        <v>2121</v>
      </c>
      <c r="E971" s="192" t="s">
        <v>590</v>
      </c>
      <c r="F971" s="226"/>
      <c r="G971" s="294"/>
      <c r="H971" s="294"/>
      <c r="I971" s="294"/>
      <c r="J971" s="98"/>
      <c r="K971" s="614">
        <f t="shared" si="30"/>
        <v>0</v>
      </c>
      <c r="L971" s="614">
        <f t="shared" si="31"/>
        <v>0</v>
      </c>
    </row>
    <row r="972" spans="1:12" ht="30" customHeight="1">
      <c r="A972" s="241" t="s">
        <v>115</v>
      </c>
      <c r="B972" s="329">
        <v>1214</v>
      </c>
      <c r="C972" s="243" t="s">
        <v>499</v>
      </c>
      <c r="D972" s="188">
        <v>2164</v>
      </c>
      <c r="E972" s="179" t="s">
        <v>296</v>
      </c>
      <c r="F972" s="226"/>
      <c r="G972" s="294"/>
      <c r="H972" s="338"/>
      <c r="I972" s="294"/>
      <c r="J972" s="98"/>
      <c r="K972" s="614">
        <f t="shared" si="30"/>
        <v>0</v>
      </c>
      <c r="L972" s="614">
        <f t="shared" si="31"/>
        <v>0</v>
      </c>
    </row>
    <row r="973" spans="1:12" ht="30" customHeight="1">
      <c r="A973" s="241" t="s">
        <v>115</v>
      </c>
      <c r="B973" s="329">
        <v>1214</v>
      </c>
      <c r="C973" s="243" t="s">
        <v>499</v>
      </c>
      <c r="D973" s="188">
        <v>2162</v>
      </c>
      <c r="E973" s="179" t="s">
        <v>553</v>
      </c>
      <c r="F973" s="226"/>
      <c r="G973" s="294"/>
      <c r="H973" s="338"/>
      <c r="I973" s="294"/>
      <c r="J973" s="315"/>
      <c r="K973" s="614">
        <f aca="true" t="shared" si="32" ref="K973:K1036">I973+J973</f>
        <v>0</v>
      </c>
      <c r="L973" s="614">
        <f t="shared" si="31"/>
        <v>0</v>
      </c>
    </row>
    <row r="974" spans="1:12" ht="30" customHeight="1">
      <c r="A974" s="241" t="s">
        <v>115</v>
      </c>
      <c r="B974" s="329">
        <v>1214</v>
      </c>
      <c r="C974" s="243" t="s">
        <v>499</v>
      </c>
      <c r="D974" s="257" t="s">
        <v>20</v>
      </c>
      <c r="E974" s="226"/>
      <c r="F974" s="98">
        <f>SUBTOTAL(109,F965:F968)</f>
        <v>9</v>
      </c>
      <c r="G974" s="98">
        <f>SUBTOTAL(109,G965:G973)</f>
        <v>22816404</v>
      </c>
      <c r="H974" s="98">
        <f>SUBTOTAL(109,H965:H973)</f>
        <v>12746100.42</v>
      </c>
      <c r="I974" s="98">
        <f>SUBTOTAL(109,I965:I973)</f>
        <v>22816404</v>
      </c>
      <c r="J974" s="315"/>
      <c r="K974" s="614">
        <f t="shared" si="32"/>
        <v>22816404</v>
      </c>
      <c r="L974" s="614">
        <f t="shared" si="31"/>
        <v>10070303.58</v>
      </c>
    </row>
    <row r="975" spans="1:12" ht="30" customHeight="1">
      <c r="A975" s="241" t="s">
        <v>115</v>
      </c>
      <c r="B975" s="329">
        <v>1215</v>
      </c>
      <c r="C975" s="243" t="s">
        <v>505</v>
      </c>
      <c r="D975" s="255" t="s">
        <v>241</v>
      </c>
      <c r="E975" s="226"/>
      <c r="F975" s="226"/>
      <c r="G975" s="98"/>
      <c r="H975" s="98"/>
      <c r="I975" s="98"/>
      <c r="J975" s="315"/>
      <c r="K975" s="614">
        <f t="shared" si="32"/>
        <v>0</v>
      </c>
      <c r="L975" s="614">
        <f t="shared" si="31"/>
        <v>0</v>
      </c>
    </row>
    <row r="976" spans="1:12" ht="30" customHeight="1">
      <c r="A976" s="241" t="s">
        <v>115</v>
      </c>
      <c r="B976" s="329">
        <v>1215</v>
      </c>
      <c r="C976" s="243" t="s">
        <v>505</v>
      </c>
      <c r="D976" s="188">
        <v>6611</v>
      </c>
      <c r="E976" s="192" t="s">
        <v>6</v>
      </c>
      <c r="F976" s="226"/>
      <c r="G976" s="242">
        <v>5719992</v>
      </c>
      <c r="H976" s="242">
        <v>18505598.55</v>
      </c>
      <c r="I976" s="242">
        <v>5719992</v>
      </c>
      <c r="J976" s="315"/>
      <c r="K976" s="614">
        <f t="shared" si="32"/>
        <v>5719992</v>
      </c>
      <c r="L976" s="614">
        <f t="shared" si="31"/>
        <v>-12785606.55</v>
      </c>
    </row>
    <row r="977" spans="1:12" ht="30" customHeight="1">
      <c r="A977" s="241" t="s">
        <v>115</v>
      </c>
      <c r="B977" s="329">
        <v>1215</v>
      </c>
      <c r="C977" s="243" t="s">
        <v>505</v>
      </c>
      <c r="D977" s="188">
        <v>60100</v>
      </c>
      <c r="E977" s="192" t="s">
        <v>7</v>
      </c>
      <c r="F977" s="226"/>
      <c r="G977" s="242">
        <v>323000</v>
      </c>
      <c r="H977" s="242">
        <v>80550</v>
      </c>
      <c r="I977" s="242">
        <v>323000</v>
      </c>
      <c r="J977" s="315"/>
      <c r="K977" s="614">
        <f t="shared" si="32"/>
        <v>323000</v>
      </c>
      <c r="L977" s="614">
        <f t="shared" si="31"/>
        <v>242450</v>
      </c>
    </row>
    <row r="978" spans="1:12" ht="30" customHeight="1">
      <c r="A978" s="241" t="s">
        <v>115</v>
      </c>
      <c r="B978" s="329">
        <v>1215</v>
      </c>
      <c r="C978" s="243" t="s">
        <v>505</v>
      </c>
      <c r="D978" s="188">
        <v>60101</v>
      </c>
      <c r="E978" s="192" t="s">
        <v>264</v>
      </c>
      <c r="F978" s="226"/>
      <c r="G978" s="242">
        <v>500000</v>
      </c>
      <c r="H978" s="242">
        <v>125000</v>
      </c>
      <c r="I978" s="242">
        <v>500000</v>
      </c>
      <c r="K978" s="614">
        <f t="shared" si="32"/>
        <v>500000</v>
      </c>
      <c r="L978" s="614">
        <f t="shared" si="31"/>
        <v>375000</v>
      </c>
    </row>
    <row r="979" spans="1:12" ht="30" customHeight="1">
      <c r="A979" s="241" t="s">
        <v>115</v>
      </c>
      <c r="B979" s="329">
        <v>1215</v>
      </c>
      <c r="C979" s="243" t="s">
        <v>505</v>
      </c>
      <c r="D979" s="188">
        <v>6122</v>
      </c>
      <c r="E979" s="235" t="s">
        <v>582</v>
      </c>
      <c r="F979" s="226"/>
      <c r="G979" s="242"/>
      <c r="H979" s="242"/>
      <c r="J979" s="315"/>
      <c r="K979" s="614">
        <f t="shared" si="32"/>
        <v>0</v>
      </c>
      <c r="L979" s="614">
        <f t="shared" si="31"/>
        <v>0</v>
      </c>
    </row>
    <row r="980" spans="1:12" ht="30" customHeight="1">
      <c r="A980" s="241" t="s">
        <v>115</v>
      </c>
      <c r="B980" s="329">
        <v>1215</v>
      </c>
      <c r="C980" s="243" t="s">
        <v>505</v>
      </c>
      <c r="D980" s="188">
        <v>6173</v>
      </c>
      <c r="E980" s="192" t="s">
        <v>224</v>
      </c>
      <c r="F980" s="226"/>
      <c r="G980" s="98"/>
      <c r="H980" s="98"/>
      <c r="I980" s="98"/>
      <c r="J980" s="315"/>
      <c r="K980" s="614">
        <f t="shared" si="32"/>
        <v>0</v>
      </c>
      <c r="L980" s="614">
        <f t="shared" si="31"/>
        <v>0</v>
      </c>
    </row>
    <row r="981" spans="1:12" ht="30" customHeight="1">
      <c r="A981" s="241" t="s">
        <v>115</v>
      </c>
      <c r="B981" s="329">
        <v>1215</v>
      </c>
      <c r="C981" s="243" t="s">
        <v>505</v>
      </c>
      <c r="D981" s="188">
        <v>2164</v>
      </c>
      <c r="E981" s="179" t="s">
        <v>553</v>
      </c>
      <c r="F981" s="226"/>
      <c r="G981" s="98"/>
      <c r="H981" s="267"/>
      <c r="I981" s="242"/>
      <c r="J981" s="98"/>
      <c r="K981" s="614">
        <f t="shared" si="32"/>
        <v>0</v>
      </c>
      <c r="L981" s="614">
        <f t="shared" si="31"/>
        <v>0</v>
      </c>
    </row>
    <row r="982" spans="1:12" ht="30" customHeight="1">
      <c r="A982" s="241" t="s">
        <v>115</v>
      </c>
      <c r="B982" s="329">
        <v>1215</v>
      </c>
      <c r="C982" s="243" t="s">
        <v>505</v>
      </c>
      <c r="D982" s="188">
        <v>2171</v>
      </c>
      <c r="E982" s="179" t="s">
        <v>284</v>
      </c>
      <c r="F982" s="226"/>
      <c r="G982" s="98"/>
      <c r="H982" s="267"/>
      <c r="I982" s="242"/>
      <c r="J982" s="98"/>
      <c r="K982" s="614">
        <f t="shared" si="32"/>
        <v>0</v>
      </c>
      <c r="L982" s="614">
        <f t="shared" si="31"/>
        <v>0</v>
      </c>
    </row>
    <row r="983" spans="1:12" ht="30" customHeight="1">
      <c r="A983" s="241" t="s">
        <v>115</v>
      </c>
      <c r="B983" s="329">
        <v>1215</v>
      </c>
      <c r="C983" s="243" t="s">
        <v>505</v>
      </c>
      <c r="D983" s="257" t="s">
        <v>20</v>
      </c>
      <c r="E983" s="226"/>
      <c r="F983" s="226"/>
      <c r="G983" s="98">
        <f>SUBTOTAL(109,G976:G982)</f>
        <v>6542992</v>
      </c>
      <c r="H983" s="98">
        <f>SUBTOTAL(109,H976:H982)</f>
        <v>18711148.55</v>
      </c>
      <c r="I983" s="98">
        <f>SUBTOTAL(109,I976:I982)</f>
        <v>6542992</v>
      </c>
      <c r="J983" s="315"/>
      <c r="K983" s="614">
        <f t="shared" si="32"/>
        <v>6542992</v>
      </c>
      <c r="L983" s="614">
        <f t="shared" si="31"/>
        <v>-12168156.55</v>
      </c>
    </row>
    <row r="984" spans="1:12" ht="30" customHeight="1">
      <c r="A984" s="241" t="s">
        <v>115</v>
      </c>
      <c r="B984" s="329">
        <v>1216</v>
      </c>
      <c r="C984" s="243" t="s">
        <v>503</v>
      </c>
      <c r="D984" s="254" t="s">
        <v>145</v>
      </c>
      <c r="E984" s="226"/>
      <c r="F984" s="226"/>
      <c r="G984" s="242"/>
      <c r="H984" s="242"/>
      <c r="I984" s="242"/>
      <c r="J984" s="315"/>
      <c r="K984" s="614">
        <f t="shared" si="32"/>
        <v>0</v>
      </c>
      <c r="L984" s="614">
        <f t="shared" si="31"/>
        <v>0</v>
      </c>
    </row>
    <row r="985" spans="1:12" ht="30" customHeight="1">
      <c r="A985" s="241" t="s">
        <v>115</v>
      </c>
      <c r="B985" s="329">
        <v>1216</v>
      </c>
      <c r="C985" s="243" t="s">
        <v>503</v>
      </c>
      <c r="D985" s="188">
        <v>6611</v>
      </c>
      <c r="E985" s="192" t="s">
        <v>6</v>
      </c>
      <c r="F985" s="226">
        <v>9</v>
      </c>
      <c r="G985" s="242">
        <v>20142600</v>
      </c>
      <c r="H985" s="294">
        <v>17346133.200000003</v>
      </c>
      <c r="I985" s="242">
        <v>20142600</v>
      </c>
      <c r="J985" s="315"/>
      <c r="K985" s="614">
        <f t="shared" si="32"/>
        <v>20142600</v>
      </c>
      <c r="L985" s="614">
        <f t="shared" si="31"/>
        <v>2796466.799999997</v>
      </c>
    </row>
    <row r="986" spans="1:12" ht="30" customHeight="1">
      <c r="A986" s="241" t="s">
        <v>115</v>
      </c>
      <c r="B986" s="329">
        <v>1216</v>
      </c>
      <c r="C986" s="243" t="s">
        <v>503</v>
      </c>
      <c r="D986" s="188">
        <v>60100</v>
      </c>
      <c r="E986" s="192" t="s">
        <v>7</v>
      </c>
      <c r="F986" s="226"/>
      <c r="G986" s="294">
        <v>810000</v>
      </c>
      <c r="H986" s="294">
        <v>202500</v>
      </c>
      <c r="I986" s="294">
        <v>810000</v>
      </c>
      <c r="J986" s="315"/>
      <c r="K986" s="614">
        <f t="shared" si="32"/>
        <v>810000</v>
      </c>
      <c r="L986" s="614">
        <f t="shared" si="31"/>
        <v>607500</v>
      </c>
    </row>
    <row r="987" spans="1:12" ht="30" customHeight="1">
      <c r="A987" s="241" t="s">
        <v>115</v>
      </c>
      <c r="B987" s="329">
        <v>1216</v>
      </c>
      <c r="C987" s="243" t="s">
        <v>503</v>
      </c>
      <c r="D987" s="188">
        <v>60101</v>
      </c>
      <c r="E987" s="192" t="s">
        <v>264</v>
      </c>
      <c r="F987" s="226"/>
      <c r="G987" s="294">
        <v>560000</v>
      </c>
      <c r="H987" s="294">
        <v>132500</v>
      </c>
      <c r="I987" s="294">
        <v>560000</v>
      </c>
      <c r="J987" s="315"/>
      <c r="K987" s="614">
        <f t="shared" si="32"/>
        <v>560000</v>
      </c>
      <c r="L987" s="614">
        <f t="shared" si="31"/>
        <v>427500</v>
      </c>
    </row>
    <row r="988" spans="1:12" ht="30" customHeight="1">
      <c r="A988" s="241" t="s">
        <v>115</v>
      </c>
      <c r="B988" s="329">
        <v>1216</v>
      </c>
      <c r="C988" s="243" t="s">
        <v>503</v>
      </c>
      <c r="D988" s="188">
        <v>6122</v>
      </c>
      <c r="E988" s="235" t="s">
        <v>582</v>
      </c>
      <c r="F988" s="226"/>
      <c r="G988" s="294">
        <v>785000</v>
      </c>
      <c r="H988" s="294">
        <v>195500</v>
      </c>
      <c r="I988" s="294">
        <v>785000</v>
      </c>
      <c r="J988" s="315"/>
      <c r="K988" s="614">
        <f t="shared" si="32"/>
        <v>785000</v>
      </c>
      <c r="L988" s="614">
        <f t="shared" si="31"/>
        <v>589500</v>
      </c>
    </row>
    <row r="989" spans="1:12" ht="30" customHeight="1">
      <c r="A989" s="241" t="s">
        <v>115</v>
      </c>
      <c r="B989" s="329">
        <v>1216</v>
      </c>
      <c r="C989" s="243" t="s">
        <v>503</v>
      </c>
      <c r="D989" s="188">
        <v>6112</v>
      </c>
      <c r="E989" s="192" t="s">
        <v>236</v>
      </c>
      <c r="F989" s="226"/>
      <c r="G989" s="294"/>
      <c r="H989" s="294"/>
      <c r="I989" s="294"/>
      <c r="J989" s="315"/>
      <c r="K989" s="614">
        <f t="shared" si="32"/>
        <v>0</v>
      </c>
      <c r="L989" s="614">
        <f t="shared" si="31"/>
        <v>0</v>
      </c>
    </row>
    <row r="990" spans="1:12" ht="30" customHeight="1">
      <c r="A990" s="241" t="s">
        <v>115</v>
      </c>
      <c r="B990" s="329">
        <v>1216</v>
      </c>
      <c r="C990" s="243" t="s">
        <v>503</v>
      </c>
      <c r="D990" s="188">
        <v>2121</v>
      </c>
      <c r="E990" s="192" t="s">
        <v>590</v>
      </c>
      <c r="F990" s="226"/>
      <c r="G990" s="294"/>
      <c r="H990" s="294"/>
      <c r="I990" s="294"/>
      <c r="J990" s="315"/>
      <c r="K990" s="614">
        <f t="shared" si="32"/>
        <v>0</v>
      </c>
      <c r="L990" s="614">
        <f t="shared" si="31"/>
        <v>0</v>
      </c>
    </row>
    <row r="991" spans="1:12" ht="30" customHeight="1">
      <c r="A991" s="241" t="s">
        <v>115</v>
      </c>
      <c r="B991" s="329">
        <v>1216</v>
      </c>
      <c r="C991" s="243" t="s">
        <v>503</v>
      </c>
      <c r="D991" s="188">
        <v>2164</v>
      </c>
      <c r="E991" s="179" t="s">
        <v>296</v>
      </c>
      <c r="F991" s="226"/>
      <c r="G991" s="294"/>
      <c r="H991" s="294"/>
      <c r="I991" s="294"/>
      <c r="J991" s="98"/>
      <c r="K991" s="614">
        <f t="shared" si="32"/>
        <v>0</v>
      </c>
      <c r="L991" s="614">
        <f t="shared" si="31"/>
        <v>0</v>
      </c>
    </row>
    <row r="992" spans="1:12" ht="30" customHeight="1">
      <c r="A992" s="241" t="s">
        <v>115</v>
      </c>
      <c r="B992" s="329">
        <v>1216</v>
      </c>
      <c r="C992" s="243" t="s">
        <v>503</v>
      </c>
      <c r="D992" s="188">
        <v>2162</v>
      </c>
      <c r="E992" s="179" t="s">
        <v>553</v>
      </c>
      <c r="F992" s="226"/>
      <c r="G992" s="294"/>
      <c r="H992" s="294"/>
      <c r="I992" s="294"/>
      <c r="J992" s="315"/>
      <c r="K992" s="614">
        <f t="shared" si="32"/>
        <v>0</v>
      </c>
      <c r="L992" s="614">
        <f t="shared" si="31"/>
        <v>0</v>
      </c>
    </row>
    <row r="993" spans="1:12" ht="30" customHeight="1">
      <c r="A993" s="241" t="s">
        <v>115</v>
      </c>
      <c r="B993" s="329">
        <v>1216</v>
      </c>
      <c r="C993" s="243" t="s">
        <v>503</v>
      </c>
      <c r="D993" s="257" t="s">
        <v>20</v>
      </c>
      <c r="E993" s="226"/>
      <c r="F993" s="98">
        <f>SUBTOTAL(109,F985:F989)</f>
        <v>9</v>
      </c>
      <c r="G993" s="98">
        <f>SUBTOTAL(109,G985:G992)</f>
        <v>22297600</v>
      </c>
      <c r="H993" s="98">
        <f>SUBTOTAL(109,H985:H992)</f>
        <v>17876633.200000003</v>
      </c>
      <c r="I993" s="98">
        <f>SUBTOTAL(109,I985:I992)</f>
        <v>22297600</v>
      </c>
      <c r="J993" s="315"/>
      <c r="K993" s="614">
        <f t="shared" si="32"/>
        <v>22297600</v>
      </c>
      <c r="L993" s="614">
        <f t="shared" si="31"/>
        <v>4420966.799999997</v>
      </c>
    </row>
    <row r="994" spans="1:12" ht="30" customHeight="1">
      <c r="A994" s="241" t="s">
        <v>115</v>
      </c>
      <c r="B994" s="329">
        <v>1217</v>
      </c>
      <c r="C994" s="243" t="s">
        <v>499</v>
      </c>
      <c r="D994" s="254" t="s">
        <v>146</v>
      </c>
      <c r="E994" s="226"/>
      <c r="F994" s="226"/>
      <c r="G994" s="242"/>
      <c r="H994" s="242"/>
      <c r="I994" s="242"/>
      <c r="J994" s="315"/>
      <c r="K994" s="614">
        <f t="shared" si="32"/>
        <v>0</v>
      </c>
      <c r="L994" s="614">
        <f t="shared" si="31"/>
        <v>0</v>
      </c>
    </row>
    <row r="995" spans="1:12" ht="30" customHeight="1">
      <c r="A995" s="241" t="s">
        <v>115</v>
      </c>
      <c r="B995" s="329">
        <v>1217</v>
      </c>
      <c r="C995" s="243" t="s">
        <v>499</v>
      </c>
      <c r="D995" s="188">
        <v>6611</v>
      </c>
      <c r="E995" s="192" t="s">
        <v>6</v>
      </c>
      <c r="F995" s="226">
        <v>7</v>
      </c>
      <c r="G995" s="242">
        <v>13646400</v>
      </c>
      <c r="H995" s="242">
        <v>14625533.000000002</v>
      </c>
      <c r="I995" s="242">
        <v>13646400</v>
      </c>
      <c r="K995" s="614">
        <f t="shared" si="32"/>
        <v>13646400</v>
      </c>
      <c r="L995" s="614">
        <f t="shared" si="31"/>
        <v>-979133.0000000019</v>
      </c>
    </row>
    <row r="996" spans="1:12" ht="30" customHeight="1">
      <c r="A996" s="241" t="s">
        <v>115</v>
      </c>
      <c r="B996" s="329">
        <v>1217</v>
      </c>
      <c r="C996" s="243" t="s">
        <v>499</v>
      </c>
      <c r="D996" s="188">
        <v>60100</v>
      </c>
      <c r="E996" s="192" t="s">
        <v>47</v>
      </c>
      <c r="F996" s="226"/>
      <c r="G996" s="294">
        <v>1000000</v>
      </c>
      <c r="H996" s="294"/>
      <c r="I996" s="294">
        <v>1000000</v>
      </c>
      <c r="K996" s="614">
        <f t="shared" si="32"/>
        <v>1000000</v>
      </c>
      <c r="L996" s="614">
        <f t="shared" si="31"/>
        <v>1000000</v>
      </c>
    </row>
    <row r="997" spans="1:12" ht="30" customHeight="1">
      <c r="A997" s="241" t="s">
        <v>115</v>
      </c>
      <c r="B997" s="329">
        <v>1217</v>
      </c>
      <c r="C997" s="243" t="s">
        <v>499</v>
      </c>
      <c r="D997" s="188">
        <v>60101</v>
      </c>
      <c r="E997" s="192" t="s">
        <v>264</v>
      </c>
      <c r="F997" s="226"/>
      <c r="G997" s="294">
        <v>500000</v>
      </c>
      <c r="H997" s="294">
        <v>125000</v>
      </c>
      <c r="I997" s="294">
        <v>500000</v>
      </c>
      <c r="J997" s="315"/>
      <c r="K997" s="614">
        <f t="shared" si="32"/>
        <v>500000</v>
      </c>
      <c r="L997" s="614">
        <f t="shared" si="31"/>
        <v>375000</v>
      </c>
    </row>
    <row r="998" spans="1:12" ht="30" customHeight="1">
      <c r="A998" s="241" t="s">
        <v>115</v>
      </c>
      <c r="B998" s="329">
        <v>1217</v>
      </c>
      <c r="C998" s="243" t="s">
        <v>499</v>
      </c>
      <c r="D998" s="188">
        <v>6122</v>
      </c>
      <c r="E998" s="235" t="s">
        <v>582</v>
      </c>
      <c r="F998" s="226"/>
      <c r="G998" s="294"/>
      <c r="H998" s="294"/>
      <c r="I998" s="294"/>
      <c r="J998" s="315"/>
      <c r="K998" s="614">
        <f t="shared" si="32"/>
        <v>0</v>
      </c>
      <c r="L998" s="614">
        <f t="shared" si="31"/>
        <v>0</v>
      </c>
    </row>
    <row r="999" spans="1:12" ht="30" customHeight="1">
      <c r="A999" s="241" t="s">
        <v>115</v>
      </c>
      <c r="B999" s="329">
        <v>1217</v>
      </c>
      <c r="C999" s="243" t="s">
        <v>499</v>
      </c>
      <c r="D999" s="188">
        <v>6112</v>
      </c>
      <c r="E999" s="192" t="s">
        <v>240</v>
      </c>
      <c r="F999" s="226"/>
      <c r="G999" s="294">
        <v>500000</v>
      </c>
      <c r="H999" s="294"/>
      <c r="I999" s="294">
        <v>500000</v>
      </c>
      <c r="J999" s="315"/>
      <c r="K999" s="614">
        <f t="shared" si="32"/>
        <v>500000</v>
      </c>
      <c r="L999" s="614">
        <f t="shared" si="31"/>
        <v>500000</v>
      </c>
    </row>
    <row r="1000" spans="1:12" ht="30" customHeight="1">
      <c r="A1000" s="241" t="s">
        <v>115</v>
      </c>
      <c r="B1000" s="329">
        <v>1217</v>
      </c>
      <c r="C1000" s="243" t="s">
        <v>499</v>
      </c>
      <c r="D1000" s="188">
        <v>6173</v>
      </c>
      <c r="E1000" s="192" t="s">
        <v>19</v>
      </c>
      <c r="F1000" s="226"/>
      <c r="G1000" s="294"/>
      <c r="H1000" s="294"/>
      <c r="I1000" s="294"/>
      <c r="J1000" s="315"/>
      <c r="K1000" s="614">
        <f t="shared" si="32"/>
        <v>0</v>
      </c>
      <c r="L1000" s="614">
        <f t="shared" si="31"/>
        <v>0</v>
      </c>
    </row>
    <row r="1001" spans="1:12" ht="30" customHeight="1">
      <c r="A1001" s="241" t="s">
        <v>115</v>
      </c>
      <c r="B1001" s="329">
        <v>1217</v>
      </c>
      <c r="C1001" s="243" t="s">
        <v>499</v>
      </c>
      <c r="D1001" s="188">
        <v>2121</v>
      </c>
      <c r="E1001" s="192" t="s">
        <v>590</v>
      </c>
      <c r="F1001" s="226"/>
      <c r="G1001" s="294"/>
      <c r="H1001" s="294"/>
      <c r="I1001" s="294"/>
      <c r="J1001" s="98"/>
      <c r="K1001" s="614">
        <f t="shared" si="32"/>
        <v>0</v>
      </c>
      <c r="L1001" s="614">
        <f t="shared" si="31"/>
        <v>0</v>
      </c>
    </row>
    <row r="1002" spans="1:12" ht="30" customHeight="1">
      <c r="A1002" s="241" t="s">
        <v>115</v>
      </c>
      <c r="B1002" s="329">
        <v>1217</v>
      </c>
      <c r="C1002" s="243" t="s">
        <v>499</v>
      </c>
      <c r="D1002" s="257" t="s">
        <v>20</v>
      </c>
      <c r="E1002" s="226"/>
      <c r="F1002" s="98">
        <f>SUBTOTAL(109,F995:F1001)</f>
        <v>7</v>
      </c>
      <c r="G1002" s="98">
        <f>SUBTOTAL(109,G995:G1001)</f>
        <v>15646400</v>
      </c>
      <c r="H1002" s="98">
        <f>SUBTOTAL(109,H995:H1001)</f>
        <v>14750533.000000002</v>
      </c>
      <c r="I1002" s="98">
        <f>SUBTOTAL(109,I995:I1001)</f>
        <v>15646400</v>
      </c>
      <c r="J1002" s="98"/>
      <c r="K1002" s="614">
        <f t="shared" si="32"/>
        <v>15646400</v>
      </c>
      <c r="L1002" s="614">
        <f t="shared" si="31"/>
        <v>895866.9999999981</v>
      </c>
    </row>
    <row r="1003" spans="1:12" ht="30" customHeight="1">
      <c r="A1003" s="241" t="s">
        <v>115</v>
      </c>
      <c r="B1003" s="329">
        <v>1218</v>
      </c>
      <c r="C1003" s="243" t="s">
        <v>504</v>
      </c>
      <c r="D1003" s="254" t="s">
        <v>147</v>
      </c>
      <c r="E1003" s="272"/>
      <c r="F1003" s="272"/>
      <c r="G1003" s="242"/>
      <c r="H1003" s="242"/>
      <c r="I1003" s="242"/>
      <c r="J1003" s="98"/>
      <c r="K1003" s="614">
        <f t="shared" si="32"/>
        <v>0</v>
      </c>
      <c r="L1003" s="614">
        <f t="shared" si="31"/>
        <v>0</v>
      </c>
    </row>
    <row r="1004" spans="1:12" ht="30" customHeight="1">
      <c r="A1004" s="241" t="s">
        <v>115</v>
      </c>
      <c r="B1004" s="329">
        <v>1218</v>
      </c>
      <c r="C1004" s="243" t="s">
        <v>504</v>
      </c>
      <c r="D1004" s="188">
        <v>6611</v>
      </c>
      <c r="E1004" s="192" t="s">
        <v>6</v>
      </c>
      <c r="F1004" s="226">
        <v>9</v>
      </c>
      <c r="G1004" s="242">
        <v>21751200</v>
      </c>
      <c r="H1004" s="242">
        <v>25147999.160000008</v>
      </c>
      <c r="I1004" s="242">
        <v>21751200</v>
      </c>
      <c r="J1004" s="242"/>
      <c r="K1004" s="614">
        <f t="shared" si="32"/>
        <v>21751200</v>
      </c>
      <c r="L1004" s="614">
        <f t="shared" si="31"/>
        <v>-3396799.1600000076</v>
      </c>
    </row>
    <row r="1005" spans="1:12" ht="30" customHeight="1">
      <c r="A1005" s="241" t="s">
        <v>115</v>
      </c>
      <c r="B1005" s="329">
        <v>1218</v>
      </c>
      <c r="C1005" s="243" t="s">
        <v>504</v>
      </c>
      <c r="D1005" s="188">
        <v>60100</v>
      </c>
      <c r="E1005" s="192" t="s">
        <v>7</v>
      </c>
      <c r="F1005" s="226"/>
      <c r="G1005" s="294">
        <v>810000</v>
      </c>
      <c r="H1005" s="294">
        <v>202400</v>
      </c>
      <c r="I1005" s="294">
        <v>810000</v>
      </c>
      <c r="J1005" s="242"/>
      <c r="K1005" s="614">
        <f t="shared" si="32"/>
        <v>810000</v>
      </c>
      <c r="L1005" s="614">
        <f t="shared" si="31"/>
        <v>607600</v>
      </c>
    </row>
    <row r="1006" spans="1:12" ht="30" customHeight="1">
      <c r="A1006" s="241" t="s">
        <v>115</v>
      </c>
      <c r="B1006" s="329">
        <v>1218</v>
      </c>
      <c r="C1006" s="243" t="s">
        <v>504</v>
      </c>
      <c r="D1006" s="188">
        <v>60101</v>
      </c>
      <c r="E1006" s="192" t="s">
        <v>297</v>
      </c>
      <c r="F1006" s="226"/>
      <c r="G1006" s="294"/>
      <c r="H1006" s="338"/>
      <c r="I1006" s="338"/>
      <c r="J1006" s="242"/>
      <c r="K1006" s="614">
        <f t="shared" si="32"/>
        <v>0</v>
      </c>
      <c r="L1006" s="614">
        <f t="shared" si="31"/>
        <v>0</v>
      </c>
    </row>
    <row r="1007" spans="1:12" ht="30" customHeight="1">
      <c r="A1007" s="241" t="s">
        <v>115</v>
      </c>
      <c r="B1007" s="329">
        <v>1218</v>
      </c>
      <c r="C1007" s="243" t="s">
        <v>504</v>
      </c>
      <c r="D1007" s="188">
        <v>6122</v>
      </c>
      <c r="E1007" s="235" t="s">
        <v>582</v>
      </c>
      <c r="F1007" s="226"/>
      <c r="G1007" s="294">
        <v>400000</v>
      </c>
      <c r="H1007" s="294">
        <v>99800</v>
      </c>
      <c r="I1007" s="294">
        <v>400000</v>
      </c>
      <c r="J1007" s="98"/>
      <c r="K1007" s="614">
        <f t="shared" si="32"/>
        <v>400000</v>
      </c>
      <c r="L1007" s="614">
        <f t="shared" si="31"/>
        <v>300200</v>
      </c>
    </row>
    <row r="1008" spans="1:12" ht="30" customHeight="1">
      <c r="A1008" s="241" t="s">
        <v>115</v>
      </c>
      <c r="B1008" s="329">
        <v>1218</v>
      </c>
      <c r="C1008" s="243" t="s">
        <v>504</v>
      </c>
      <c r="D1008" s="188">
        <v>6112</v>
      </c>
      <c r="E1008" s="192" t="s">
        <v>236</v>
      </c>
      <c r="F1008" s="226"/>
      <c r="G1008" s="294"/>
      <c r="H1008" s="294"/>
      <c r="I1008" s="294"/>
      <c r="K1008" s="614">
        <f t="shared" si="32"/>
        <v>0</v>
      </c>
      <c r="L1008" s="614">
        <f t="shared" si="31"/>
        <v>0</v>
      </c>
    </row>
    <row r="1009" spans="1:12" ht="30" customHeight="1">
      <c r="A1009" s="241" t="s">
        <v>115</v>
      </c>
      <c r="B1009" s="329">
        <v>1218</v>
      </c>
      <c r="C1009" s="243" t="s">
        <v>504</v>
      </c>
      <c r="D1009" s="188">
        <v>2121</v>
      </c>
      <c r="E1009" s="192" t="s">
        <v>590</v>
      </c>
      <c r="F1009" s="226"/>
      <c r="G1009" s="294">
        <v>145000000</v>
      </c>
      <c r="H1009" s="294"/>
      <c r="I1009" s="294">
        <v>145000000</v>
      </c>
      <c r="J1009" s="98"/>
      <c r="K1009" s="614">
        <f t="shared" si="32"/>
        <v>145000000</v>
      </c>
      <c r="L1009" s="614">
        <f t="shared" si="31"/>
        <v>145000000</v>
      </c>
    </row>
    <row r="1010" spans="1:12" ht="30" customHeight="1">
      <c r="A1010" s="241" t="s">
        <v>115</v>
      </c>
      <c r="B1010" s="329">
        <v>1218</v>
      </c>
      <c r="C1010" s="243" t="s">
        <v>504</v>
      </c>
      <c r="D1010" s="188">
        <v>2164</v>
      </c>
      <c r="E1010" s="179" t="s">
        <v>553</v>
      </c>
      <c r="F1010" s="226"/>
      <c r="G1010" s="294"/>
      <c r="H1010" s="338"/>
      <c r="I1010" s="294"/>
      <c r="J1010" s="581"/>
      <c r="K1010" s="614">
        <f t="shared" si="32"/>
        <v>0</v>
      </c>
      <c r="L1010" s="614">
        <f t="shared" si="31"/>
        <v>0</v>
      </c>
    </row>
    <row r="1011" spans="1:12" ht="30" customHeight="1">
      <c r="A1011" s="241" t="s">
        <v>115</v>
      </c>
      <c r="B1011" s="329">
        <v>1218</v>
      </c>
      <c r="C1011" s="243" t="s">
        <v>504</v>
      </c>
      <c r="D1011" s="188">
        <v>21221</v>
      </c>
      <c r="E1011" s="192" t="s">
        <v>654</v>
      </c>
      <c r="F1011" s="226"/>
      <c r="G1011" s="294">
        <v>200000000</v>
      </c>
      <c r="H1011" s="338"/>
      <c r="I1011" s="294">
        <v>200000000</v>
      </c>
      <c r="J1011" s="98"/>
      <c r="K1011" s="614">
        <f t="shared" si="32"/>
        <v>200000000</v>
      </c>
      <c r="L1011" s="614">
        <f t="shared" si="31"/>
        <v>200000000</v>
      </c>
    </row>
    <row r="1012" spans="1:12" ht="30" customHeight="1">
      <c r="A1012" s="241" t="s">
        <v>115</v>
      </c>
      <c r="B1012" s="329">
        <v>1218</v>
      </c>
      <c r="C1012" s="243" t="s">
        <v>504</v>
      </c>
      <c r="D1012" s="188">
        <v>21222</v>
      </c>
      <c r="E1012" s="192" t="s">
        <v>653</v>
      </c>
      <c r="F1012" s="226"/>
      <c r="G1012" s="294"/>
      <c r="H1012" s="338"/>
      <c r="I1012" s="294"/>
      <c r="J1012" s="315"/>
      <c r="K1012" s="614">
        <f t="shared" si="32"/>
        <v>0</v>
      </c>
      <c r="L1012" s="614">
        <f t="shared" si="31"/>
        <v>0</v>
      </c>
    </row>
    <row r="1013" spans="1:12" ht="30" customHeight="1">
      <c r="A1013" s="241" t="s">
        <v>115</v>
      </c>
      <c r="B1013" s="329">
        <v>1218</v>
      </c>
      <c r="C1013" s="243" t="s">
        <v>504</v>
      </c>
      <c r="D1013" s="257" t="s">
        <v>20</v>
      </c>
      <c r="E1013" s="226"/>
      <c r="F1013" s="98">
        <f>SUBTOTAL(109,F1004:F1009)</f>
        <v>9</v>
      </c>
      <c r="G1013" s="98">
        <f>SUBTOTAL(109,G1004:G1011)</f>
        <v>367961200</v>
      </c>
      <c r="H1013" s="98">
        <f>SUBTOTAL(109,H1004:H1010)</f>
        <v>25450199.160000008</v>
      </c>
      <c r="I1013" s="98">
        <f>SUBTOTAL(109,I1004:I1011)</f>
        <v>367961200</v>
      </c>
      <c r="J1013" s="315"/>
      <c r="K1013" s="614">
        <f t="shared" si="32"/>
        <v>367961200</v>
      </c>
      <c r="L1013" s="614">
        <f t="shared" si="31"/>
        <v>342511000.84</v>
      </c>
    </row>
    <row r="1014" spans="1:12" ht="30" customHeight="1">
      <c r="A1014" s="241" t="s">
        <v>115</v>
      </c>
      <c r="B1014" s="273" t="s">
        <v>679</v>
      </c>
      <c r="C1014" s="243" t="s">
        <v>503</v>
      </c>
      <c r="D1014" s="252" t="s">
        <v>565</v>
      </c>
      <c r="E1014" s="226"/>
      <c r="F1014" s="267"/>
      <c r="G1014" s="98"/>
      <c r="H1014" s="267"/>
      <c r="I1014" s="98"/>
      <c r="J1014" s="315"/>
      <c r="K1014" s="614">
        <f t="shared" si="32"/>
        <v>0</v>
      </c>
      <c r="L1014" s="614">
        <f t="shared" si="31"/>
        <v>0</v>
      </c>
    </row>
    <row r="1015" spans="1:12" ht="30" customHeight="1">
      <c r="A1015" s="241" t="s">
        <v>115</v>
      </c>
      <c r="B1015" s="329" t="s">
        <v>679</v>
      </c>
      <c r="C1015" s="243" t="s">
        <v>503</v>
      </c>
      <c r="D1015" s="188">
        <v>6611</v>
      </c>
      <c r="E1015" s="192" t="s">
        <v>6</v>
      </c>
      <c r="F1015" s="267"/>
      <c r="G1015" s="98"/>
      <c r="H1015" s="267"/>
      <c r="I1015" s="98"/>
      <c r="J1015" s="315"/>
      <c r="K1015" s="614">
        <f t="shared" si="32"/>
        <v>0</v>
      </c>
      <c r="L1015" s="614">
        <f t="shared" si="31"/>
        <v>0</v>
      </c>
    </row>
    <row r="1016" spans="1:12" ht="30" customHeight="1">
      <c r="A1016" s="241" t="s">
        <v>115</v>
      </c>
      <c r="B1016" s="329" t="s">
        <v>679</v>
      </c>
      <c r="C1016" s="243" t="s">
        <v>503</v>
      </c>
      <c r="D1016" s="188">
        <v>60100</v>
      </c>
      <c r="E1016" s="192" t="s">
        <v>7</v>
      </c>
      <c r="F1016" s="267"/>
      <c r="G1016" s="242">
        <v>687500</v>
      </c>
      <c r="H1016" s="267">
        <v>171700</v>
      </c>
      <c r="I1016" s="242">
        <v>687500</v>
      </c>
      <c r="J1016" s="315"/>
      <c r="K1016" s="614">
        <f t="shared" si="32"/>
        <v>687500</v>
      </c>
      <c r="L1016" s="614">
        <f t="shared" si="31"/>
        <v>515800</v>
      </c>
    </row>
    <row r="1017" spans="1:12" ht="30" customHeight="1">
      <c r="A1017" s="241" t="s">
        <v>115</v>
      </c>
      <c r="B1017" s="329" t="s">
        <v>679</v>
      </c>
      <c r="C1017" s="243" t="s">
        <v>503</v>
      </c>
      <c r="D1017" s="188">
        <v>60101</v>
      </c>
      <c r="E1017" s="192" t="s">
        <v>297</v>
      </c>
      <c r="F1017" s="267"/>
      <c r="G1017" s="98"/>
      <c r="H1017" s="267"/>
      <c r="I1017" s="98"/>
      <c r="K1017" s="614">
        <f t="shared" si="32"/>
        <v>0</v>
      </c>
      <c r="L1017" s="614">
        <f t="shared" si="31"/>
        <v>0</v>
      </c>
    </row>
    <row r="1018" spans="1:12" ht="30" customHeight="1">
      <c r="A1018" s="241" t="s">
        <v>115</v>
      </c>
      <c r="B1018" s="329" t="s">
        <v>679</v>
      </c>
      <c r="C1018" s="243" t="s">
        <v>503</v>
      </c>
      <c r="D1018" s="188">
        <v>6122</v>
      </c>
      <c r="E1018" s="235" t="s">
        <v>582</v>
      </c>
      <c r="F1018" s="267"/>
      <c r="G1018" s="98"/>
      <c r="H1018" s="267"/>
      <c r="I1018" s="242"/>
      <c r="J1018" s="315"/>
      <c r="K1018" s="614">
        <f t="shared" si="32"/>
        <v>0</v>
      </c>
      <c r="L1018" s="614">
        <f t="shared" si="31"/>
        <v>0</v>
      </c>
    </row>
    <row r="1019" spans="1:12" ht="30" customHeight="1">
      <c r="A1019" s="241" t="s">
        <v>115</v>
      </c>
      <c r="B1019" s="329" t="s">
        <v>679</v>
      </c>
      <c r="C1019" s="243" t="s">
        <v>503</v>
      </c>
      <c r="D1019" s="188">
        <v>6173</v>
      </c>
      <c r="E1019" s="192" t="s">
        <v>19</v>
      </c>
      <c r="F1019" s="267"/>
      <c r="G1019" s="98"/>
      <c r="H1019" s="267"/>
      <c r="I1019" s="98"/>
      <c r="J1019" s="315"/>
      <c r="K1019" s="614">
        <f t="shared" si="32"/>
        <v>0</v>
      </c>
      <c r="L1019" s="614">
        <f t="shared" si="31"/>
        <v>0</v>
      </c>
    </row>
    <row r="1020" spans="1:12" ht="30" customHeight="1">
      <c r="A1020" s="241" t="s">
        <v>115</v>
      </c>
      <c r="B1020" s="329" t="s">
        <v>679</v>
      </c>
      <c r="C1020" s="243" t="s">
        <v>503</v>
      </c>
      <c r="D1020" s="188">
        <v>2164</v>
      </c>
      <c r="E1020" s="192" t="s">
        <v>566</v>
      </c>
      <c r="F1020" s="267"/>
      <c r="G1020" s="98"/>
      <c r="H1020" s="267"/>
      <c r="I1020" s="98"/>
      <c r="K1020" s="614">
        <f t="shared" si="32"/>
        <v>0</v>
      </c>
      <c r="L1020" s="614">
        <f t="shared" si="31"/>
        <v>0</v>
      </c>
    </row>
    <row r="1021" spans="1:12" ht="30" customHeight="1">
      <c r="A1021" s="241" t="s">
        <v>115</v>
      </c>
      <c r="B1021" s="273" t="s">
        <v>679</v>
      </c>
      <c r="C1021" s="243" t="s">
        <v>503</v>
      </c>
      <c r="D1021" s="257" t="s">
        <v>20</v>
      </c>
      <c r="E1021" s="226"/>
      <c r="F1021" s="267"/>
      <c r="G1021" s="98">
        <f>SUM(G1015:G1020)</f>
        <v>687500</v>
      </c>
      <c r="H1021" s="98">
        <f>SUM(H1015:H1020)</f>
        <v>171700</v>
      </c>
      <c r="I1021" s="98">
        <f>SUM(I1015:I1020)</f>
        <v>687500</v>
      </c>
      <c r="J1021" s="98"/>
      <c r="K1021" s="614">
        <f t="shared" si="32"/>
        <v>687500</v>
      </c>
      <c r="L1021" s="614">
        <f t="shared" si="31"/>
        <v>515800</v>
      </c>
    </row>
    <row r="1022" spans="1:12" ht="30" customHeight="1">
      <c r="A1022" s="241" t="s">
        <v>115</v>
      </c>
      <c r="B1022" s="241" t="s">
        <v>72</v>
      </c>
      <c r="C1022" s="243"/>
      <c r="D1022" s="268"/>
      <c r="E1022" s="352"/>
      <c r="F1022" s="98">
        <f>F1013+F1002+F993+F983+F974+F963+F959+F955+F951+F947+F943+F932+F927+F921+F914+F900</f>
        <v>124</v>
      </c>
      <c r="G1022" s="98">
        <f>G1021+G1013+G1002+G993+G983+G974+G963+G959+G955+G951+G947+G943+G932+G927+G921+G914+G900</f>
        <v>2098682663.49</v>
      </c>
      <c r="H1022" s="98">
        <f>H1021+H1013+H1002+H993+H983+H974+H963+H959+H955+H951+H947+H943+H932+H927+H921+H914+H900</f>
        <v>2199680748.35</v>
      </c>
      <c r="I1022" s="98">
        <f>I1021+I1013+I1002+I993+I983+I974+I963+I959+I955+I951+I947+I943+I932+I927+I921+I914+I900</f>
        <v>2682682663.49</v>
      </c>
      <c r="J1022" s="98"/>
      <c r="K1022" s="614">
        <f t="shared" si="32"/>
        <v>2682682663.49</v>
      </c>
      <c r="L1022" s="614">
        <f t="shared" si="31"/>
        <v>483001915.13999987</v>
      </c>
    </row>
    <row r="1023" spans="1:12" ht="30" customHeight="1">
      <c r="A1023" s="241" t="s">
        <v>127</v>
      </c>
      <c r="B1023" s="241" t="s">
        <v>617</v>
      </c>
      <c r="C1023" s="243"/>
      <c r="D1023" s="257"/>
      <c r="E1023" s="267"/>
      <c r="F1023" s="267"/>
      <c r="G1023" s="242"/>
      <c r="H1023" s="242"/>
      <c r="I1023" s="242"/>
      <c r="J1023" s="315"/>
      <c r="K1023" s="614">
        <f t="shared" si="32"/>
        <v>0</v>
      </c>
      <c r="L1023" s="614">
        <f t="shared" si="31"/>
        <v>0</v>
      </c>
    </row>
    <row r="1024" spans="1:12" ht="30" customHeight="1">
      <c r="A1024" s="241" t="s">
        <v>127</v>
      </c>
      <c r="B1024" s="329">
        <v>1301</v>
      </c>
      <c r="C1024" s="243" t="s">
        <v>506</v>
      </c>
      <c r="D1024" s="255" t="s">
        <v>150</v>
      </c>
      <c r="E1024" s="267"/>
      <c r="F1024" s="267"/>
      <c r="G1024" s="242"/>
      <c r="H1024" s="242"/>
      <c r="I1024" s="242"/>
      <c r="J1024" s="315"/>
      <c r="K1024" s="614">
        <f t="shared" si="32"/>
        <v>0</v>
      </c>
      <c r="L1024" s="614">
        <f t="shared" si="31"/>
        <v>0</v>
      </c>
    </row>
    <row r="1025" spans="1:12" ht="30" customHeight="1">
      <c r="A1025" s="241" t="s">
        <v>127</v>
      </c>
      <c r="B1025" s="329">
        <v>1301</v>
      </c>
      <c r="C1025" s="243" t="s">
        <v>506</v>
      </c>
      <c r="D1025" s="188">
        <v>6611</v>
      </c>
      <c r="E1025" s="192" t="s">
        <v>6</v>
      </c>
      <c r="F1025" s="226">
        <f>4</f>
        <v>4</v>
      </c>
      <c r="G1025" s="242">
        <v>57521873</v>
      </c>
      <c r="H1025" s="242">
        <v>268901369.41</v>
      </c>
      <c r="I1025" s="242">
        <v>57521873</v>
      </c>
      <c r="K1025" s="614">
        <f t="shared" si="32"/>
        <v>57521873</v>
      </c>
      <c r="L1025" s="614">
        <f t="shared" si="31"/>
        <v>-211379496.41000003</v>
      </c>
    </row>
    <row r="1026" spans="1:12" ht="30" customHeight="1">
      <c r="A1026" s="241" t="s">
        <v>127</v>
      </c>
      <c r="B1026" s="329">
        <v>1301</v>
      </c>
      <c r="C1026" s="243" t="s">
        <v>506</v>
      </c>
      <c r="D1026" s="188">
        <v>60100</v>
      </c>
      <c r="E1026" s="192" t="s">
        <v>7</v>
      </c>
      <c r="F1026" s="226"/>
      <c r="G1026" s="294">
        <v>846000</v>
      </c>
      <c r="H1026" s="294">
        <v>421200</v>
      </c>
      <c r="I1026" s="294">
        <v>846000</v>
      </c>
      <c r="J1026" s="315"/>
      <c r="K1026" s="614">
        <f t="shared" si="32"/>
        <v>846000</v>
      </c>
      <c r="L1026" s="614">
        <f t="shared" si="31"/>
        <v>424800</v>
      </c>
    </row>
    <row r="1027" spans="1:12" ht="30" customHeight="1">
      <c r="A1027" s="241" t="s">
        <v>127</v>
      </c>
      <c r="B1027" s="329">
        <v>1301</v>
      </c>
      <c r="C1027" s="243" t="s">
        <v>506</v>
      </c>
      <c r="D1027" s="187">
        <v>60101</v>
      </c>
      <c r="E1027" s="194" t="s">
        <v>264</v>
      </c>
      <c r="F1027" s="253"/>
      <c r="G1027" s="294"/>
      <c r="H1027" s="294"/>
      <c r="I1027" s="294"/>
      <c r="K1027" s="614">
        <f t="shared" si="32"/>
        <v>0</v>
      </c>
      <c r="L1027" s="614">
        <f t="shared" si="31"/>
        <v>0</v>
      </c>
    </row>
    <row r="1028" spans="1:12" ht="30" customHeight="1">
      <c r="A1028" s="241" t="s">
        <v>127</v>
      </c>
      <c r="B1028" s="329">
        <v>1301</v>
      </c>
      <c r="C1028" s="243" t="s">
        <v>506</v>
      </c>
      <c r="D1028" s="188">
        <v>6122</v>
      </c>
      <c r="E1028" s="235" t="s">
        <v>582</v>
      </c>
      <c r="F1028" s="253"/>
      <c r="G1028" s="294">
        <v>800000</v>
      </c>
      <c r="H1028" s="294">
        <v>792500</v>
      </c>
      <c r="I1028" s="294">
        <v>800000</v>
      </c>
      <c r="J1028" s="98"/>
      <c r="K1028" s="614">
        <f t="shared" si="32"/>
        <v>800000</v>
      </c>
      <c r="L1028" s="614">
        <f t="shared" si="31"/>
        <v>7500</v>
      </c>
    </row>
    <row r="1029" spans="1:12" ht="30" customHeight="1">
      <c r="A1029" s="241" t="s">
        <v>127</v>
      </c>
      <c r="B1029" s="329">
        <v>1301</v>
      </c>
      <c r="C1029" s="243" t="s">
        <v>506</v>
      </c>
      <c r="D1029" s="187">
        <v>6133</v>
      </c>
      <c r="E1029" s="194" t="s">
        <v>110</v>
      </c>
      <c r="F1029" s="253"/>
      <c r="G1029" s="294"/>
      <c r="H1029" s="294"/>
      <c r="I1029" s="294"/>
      <c r="J1029" s="98"/>
      <c r="K1029" s="614">
        <f t="shared" si="32"/>
        <v>0</v>
      </c>
      <c r="L1029" s="614">
        <f t="shared" si="31"/>
        <v>0</v>
      </c>
    </row>
    <row r="1030" spans="1:12" ht="30" customHeight="1">
      <c r="A1030" s="241" t="s">
        <v>127</v>
      </c>
      <c r="B1030" s="329">
        <v>1301</v>
      </c>
      <c r="C1030" s="243" t="s">
        <v>506</v>
      </c>
      <c r="D1030" s="187">
        <v>6111</v>
      </c>
      <c r="E1030" s="194" t="s">
        <v>238</v>
      </c>
      <c r="F1030" s="253"/>
      <c r="G1030" s="294"/>
      <c r="H1030" s="294"/>
      <c r="I1030" s="294"/>
      <c r="J1030" s="315"/>
      <c r="K1030" s="614">
        <f t="shared" si="32"/>
        <v>0</v>
      </c>
      <c r="L1030" s="614">
        <f t="shared" si="31"/>
        <v>0</v>
      </c>
    </row>
    <row r="1031" spans="1:12" ht="30" customHeight="1">
      <c r="A1031" s="241" t="s">
        <v>127</v>
      </c>
      <c r="B1031" s="329">
        <v>1301</v>
      </c>
      <c r="C1031" s="243" t="s">
        <v>506</v>
      </c>
      <c r="D1031" s="187">
        <v>6175</v>
      </c>
      <c r="E1031" s="194" t="s">
        <v>13</v>
      </c>
      <c r="F1031" s="253"/>
      <c r="G1031" s="294">
        <v>891325</v>
      </c>
      <c r="H1031" s="294">
        <v>653247</v>
      </c>
      <c r="I1031" s="294">
        <v>891325</v>
      </c>
      <c r="J1031" s="315"/>
      <c r="K1031" s="614">
        <f t="shared" si="32"/>
        <v>891325</v>
      </c>
      <c r="L1031" s="614">
        <f aca="true" t="shared" si="33" ref="L1031:L1094">K1031-H1031</f>
        <v>238078</v>
      </c>
    </row>
    <row r="1032" spans="1:12" ht="30" customHeight="1">
      <c r="A1032" s="241" t="s">
        <v>127</v>
      </c>
      <c r="B1032" s="329">
        <v>1301</v>
      </c>
      <c r="C1032" s="243" t="s">
        <v>506</v>
      </c>
      <c r="D1032" s="187">
        <v>2171</v>
      </c>
      <c r="E1032" s="194" t="s">
        <v>284</v>
      </c>
      <c r="F1032" s="253"/>
      <c r="G1032" s="294"/>
      <c r="H1032" s="338"/>
      <c r="I1032" s="338"/>
      <c r="J1032" s="98"/>
      <c r="K1032" s="614">
        <f t="shared" si="32"/>
        <v>0</v>
      </c>
      <c r="L1032" s="614">
        <f t="shared" si="33"/>
        <v>0</v>
      </c>
    </row>
    <row r="1033" spans="1:12" ht="30" customHeight="1">
      <c r="A1033" s="241" t="s">
        <v>127</v>
      </c>
      <c r="B1033" s="329">
        <v>1301</v>
      </c>
      <c r="C1033" s="243" t="s">
        <v>506</v>
      </c>
      <c r="D1033" s="257" t="s">
        <v>20</v>
      </c>
      <c r="E1033" s="267"/>
      <c r="F1033" s="98">
        <f>SUBTOTAL(109,F1025:F1031)</f>
        <v>4</v>
      </c>
      <c r="G1033" s="98">
        <f>SUBTOTAL(109,G1025:G1031)</f>
        <v>60059198</v>
      </c>
      <c r="H1033" s="98">
        <f>SUBTOTAL(109,H1025:H1031)</f>
        <v>270768316.41</v>
      </c>
      <c r="I1033" s="98">
        <f>SUBTOTAL(109,I1025:I1031)</f>
        <v>60059198</v>
      </c>
      <c r="J1033" s="581">
        <f>SUBTOTAL(109,J1025:J1031)</f>
        <v>0</v>
      </c>
      <c r="K1033" s="614">
        <f t="shared" si="32"/>
        <v>60059198</v>
      </c>
      <c r="L1033" s="614">
        <f t="shared" si="33"/>
        <v>-210709118.41000003</v>
      </c>
    </row>
    <row r="1034" spans="1:12" ht="30" customHeight="1">
      <c r="A1034" s="241" t="s">
        <v>127</v>
      </c>
      <c r="B1034" s="329">
        <v>1302</v>
      </c>
      <c r="C1034" s="243" t="s">
        <v>506</v>
      </c>
      <c r="D1034" s="254" t="s">
        <v>66</v>
      </c>
      <c r="E1034" s="226"/>
      <c r="F1034" s="226"/>
      <c r="G1034" s="98"/>
      <c r="H1034" s="267"/>
      <c r="I1034" s="267"/>
      <c r="J1034" s="315"/>
      <c r="K1034" s="614">
        <f t="shared" si="32"/>
        <v>0</v>
      </c>
      <c r="L1034" s="614">
        <f t="shared" si="33"/>
        <v>0</v>
      </c>
    </row>
    <row r="1035" spans="1:12" ht="30" customHeight="1">
      <c r="A1035" s="241" t="s">
        <v>127</v>
      </c>
      <c r="B1035" s="329">
        <v>1302</v>
      </c>
      <c r="C1035" s="243" t="s">
        <v>506</v>
      </c>
      <c r="D1035" s="188">
        <v>6611</v>
      </c>
      <c r="E1035" s="192" t="s">
        <v>6</v>
      </c>
      <c r="F1035" s="226">
        <f>6+13+18</f>
        <v>37</v>
      </c>
      <c r="G1035" s="242">
        <v>119443432</v>
      </c>
      <c r="H1035" s="242">
        <v>24046266.75</v>
      </c>
      <c r="I1035" s="242">
        <v>119443432</v>
      </c>
      <c r="J1035" s="98"/>
      <c r="K1035" s="614">
        <f t="shared" si="32"/>
        <v>119443432</v>
      </c>
      <c r="L1035" s="614">
        <f t="shared" si="33"/>
        <v>95397165.25</v>
      </c>
    </row>
    <row r="1036" spans="1:12" ht="30" customHeight="1">
      <c r="A1036" s="241" t="s">
        <v>127</v>
      </c>
      <c r="B1036" s="329">
        <v>1302</v>
      </c>
      <c r="C1036" s="243" t="s">
        <v>506</v>
      </c>
      <c r="D1036" s="188">
        <v>60100</v>
      </c>
      <c r="E1036" s="192" t="s">
        <v>7</v>
      </c>
      <c r="F1036" s="226"/>
      <c r="G1036" s="242">
        <v>500000</v>
      </c>
      <c r="H1036" s="242">
        <v>123000</v>
      </c>
      <c r="I1036" s="242">
        <v>500000</v>
      </c>
      <c r="J1036" s="98"/>
      <c r="K1036" s="614">
        <f t="shared" si="32"/>
        <v>500000</v>
      </c>
      <c r="L1036" s="614">
        <f t="shared" si="33"/>
        <v>377000</v>
      </c>
    </row>
    <row r="1037" spans="1:12" ht="30" customHeight="1">
      <c r="A1037" s="241" t="s">
        <v>127</v>
      </c>
      <c r="B1037" s="329">
        <v>1302</v>
      </c>
      <c r="C1037" s="243" t="s">
        <v>506</v>
      </c>
      <c r="D1037" s="188">
        <v>60101</v>
      </c>
      <c r="E1037" s="192" t="s">
        <v>255</v>
      </c>
      <c r="F1037" s="226"/>
      <c r="G1037" s="242"/>
      <c r="H1037" s="242"/>
      <c r="I1037" s="267"/>
      <c r="J1037" s="315"/>
      <c r="K1037" s="614">
        <f aca="true" t="shared" si="34" ref="K1037:K1100">I1037+J1037</f>
        <v>0</v>
      </c>
      <c r="L1037" s="614">
        <f t="shared" si="33"/>
        <v>0</v>
      </c>
    </row>
    <row r="1038" spans="1:12" ht="30" customHeight="1">
      <c r="A1038" s="241" t="s">
        <v>127</v>
      </c>
      <c r="B1038" s="329">
        <v>1302</v>
      </c>
      <c r="C1038" s="243" t="s">
        <v>506</v>
      </c>
      <c r="D1038" s="188">
        <v>6122</v>
      </c>
      <c r="E1038" s="235" t="s">
        <v>582</v>
      </c>
      <c r="F1038" s="226"/>
      <c r="G1038" s="242">
        <v>400000</v>
      </c>
      <c r="H1038" s="242"/>
      <c r="I1038" s="242">
        <v>400000</v>
      </c>
      <c r="J1038" s="315"/>
      <c r="K1038" s="614">
        <f t="shared" si="34"/>
        <v>400000</v>
      </c>
      <c r="L1038" s="614">
        <f t="shared" si="33"/>
        <v>400000</v>
      </c>
    </row>
    <row r="1039" spans="1:12" ht="30" customHeight="1">
      <c r="A1039" s="241" t="s">
        <v>127</v>
      </c>
      <c r="B1039" s="329">
        <v>1302</v>
      </c>
      <c r="C1039" s="243" t="s">
        <v>506</v>
      </c>
      <c r="D1039" s="187">
        <v>6175</v>
      </c>
      <c r="E1039" s="194" t="s">
        <v>13</v>
      </c>
      <c r="F1039" s="253"/>
      <c r="G1039" s="242"/>
      <c r="H1039" s="242"/>
      <c r="I1039" s="267"/>
      <c r="J1039" s="315"/>
      <c r="K1039" s="614">
        <f t="shared" si="34"/>
        <v>0</v>
      </c>
      <c r="L1039" s="614">
        <f t="shared" si="33"/>
        <v>0</v>
      </c>
    </row>
    <row r="1040" spans="1:12" ht="30" customHeight="1">
      <c r="A1040" s="241" t="s">
        <v>127</v>
      </c>
      <c r="B1040" s="329">
        <v>1302</v>
      </c>
      <c r="C1040" s="243" t="s">
        <v>506</v>
      </c>
      <c r="D1040" s="257" t="s">
        <v>20</v>
      </c>
      <c r="E1040" s="226"/>
      <c r="F1040" s="98">
        <f>SUM(F1035:F1039)</f>
        <v>37</v>
      </c>
      <c r="G1040" s="98">
        <f>SUM(G1035:G1039)</f>
        <v>120343432</v>
      </c>
      <c r="H1040" s="98">
        <f>SUM(H1035:H1039)</f>
        <v>24169266.75</v>
      </c>
      <c r="I1040" s="98">
        <f>SUM(I1035:I1039)</f>
        <v>120343432</v>
      </c>
      <c r="J1040" s="581">
        <f>SUM(J1035:J1039)</f>
        <v>0</v>
      </c>
      <c r="K1040" s="614">
        <f t="shared" si="34"/>
        <v>120343432</v>
      </c>
      <c r="L1040" s="614">
        <f t="shared" si="33"/>
        <v>96174165.25</v>
      </c>
    </row>
    <row r="1041" spans="1:12" ht="30" customHeight="1">
      <c r="A1041" s="241" t="s">
        <v>127</v>
      </c>
      <c r="B1041" s="329">
        <v>1303</v>
      </c>
      <c r="C1041" s="243" t="s">
        <v>507</v>
      </c>
      <c r="D1041" s="257" t="s">
        <v>151</v>
      </c>
      <c r="E1041" s="267"/>
      <c r="F1041" s="267"/>
      <c r="G1041" s="242"/>
      <c r="H1041" s="242"/>
      <c r="I1041" s="242"/>
      <c r="J1041" s="98"/>
      <c r="K1041" s="614">
        <f t="shared" si="34"/>
        <v>0</v>
      </c>
      <c r="L1041" s="614">
        <f t="shared" si="33"/>
        <v>0</v>
      </c>
    </row>
    <row r="1042" spans="1:12" ht="30" customHeight="1">
      <c r="A1042" s="241" t="s">
        <v>127</v>
      </c>
      <c r="B1042" s="329">
        <v>1303</v>
      </c>
      <c r="C1042" s="243" t="s">
        <v>507</v>
      </c>
      <c r="D1042" s="188">
        <v>6311</v>
      </c>
      <c r="E1042" s="192" t="s">
        <v>276</v>
      </c>
      <c r="F1042" s="226"/>
      <c r="G1042" s="294">
        <v>200000000</v>
      </c>
      <c r="H1042" s="294">
        <v>200000000</v>
      </c>
      <c r="I1042" s="294">
        <v>200000000</v>
      </c>
      <c r="J1042" s="315"/>
      <c r="K1042" s="614">
        <f t="shared" si="34"/>
        <v>200000000</v>
      </c>
      <c r="L1042" s="614">
        <f t="shared" si="33"/>
        <v>0</v>
      </c>
    </row>
    <row r="1043" spans="1:12" ht="30" customHeight="1">
      <c r="A1043" s="241" t="s">
        <v>127</v>
      </c>
      <c r="B1043" s="329">
        <v>1303</v>
      </c>
      <c r="C1043" s="243" t="s">
        <v>507</v>
      </c>
      <c r="D1043" s="188">
        <v>2156</v>
      </c>
      <c r="E1043" s="179" t="s">
        <v>572</v>
      </c>
      <c r="F1043" s="226"/>
      <c r="G1043" s="294">
        <v>1000000000</v>
      </c>
      <c r="H1043" s="294">
        <v>500000000</v>
      </c>
      <c r="I1043" s="294">
        <v>1000000000</v>
      </c>
      <c r="J1043" s="315"/>
      <c r="K1043" s="614">
        <f t="shared" si="34"/>
        <v>1000000000</v>
      </c>
      <c r="L1043" s="614">
        <f t="shared" si="33"/>
        <v>500000000</v>
      </c>
    </row>
    <row r="1044" spans="1:12" ht="30" customHeight="1">
      <c r="A1044" s="241" t="s">
        <v>127</v>
      </c>
      <c r="B1044" s="329">
        <v>1303</v>
      </c>
      <c r="C1044" s="243" t="s">
        <v>507</v>
      </c>
      <c r="D1044" s="257" t="s">
        <v>20</v>
      </c>
      <c r="E1044" s="267"/>
      <c r="F1044" s="267"/>
      <c r="G1044" s="98">
        <f>SUBTOTAL(109,G1042:G1043)</f>
        <v>1200000000</v>
      </c>
      <c r="H1044" s="98">
        <f>SUBTOTAL(109,H1042:H1043)</f>
        <v>700000000</v>
      </c>
      <c r="I1044" s="98">
        <f>SUBTOTAL(109,I1042:I1043)</f>
        <v>1200000000</v>
      </c>
      <c r="J1044" s="581">
        <f>SUBTOTAL(109,J1042:J1043)</f>
        <v>0</v>
      </c>
      <c r="K1044" s="614">
        <f t="shared" si="34"/>
        <v>1200000000</v>
      </c>
      <c r="L1044" s="614">
        <f t="shared" si="33"/>
        <v>500000000</v>
      </c>
    </row>
    <row r="1045" spans="1:12" ht="30" customHeight="1">
      <c r="A1045" s="241" t="s">
        <v>127</v>
      </c>
      <c r="B1045" s="329">
        <v>1304</v>
      </c>
      <c r="C1045" s="243" t="s">
        <v>507</v>
      </c>
      <c r="D1045" s="257" t="s">
        <v>153</v>
      </c>
      <c r="E1045" s="267"/>
      <c r="F1045" s="267"/>
      <c r="G1045" s="242"/>
      <c r="H1045" s="242"/>
      <c r="I1045" s="242"/>
      <c r="J1045" s="315"/>
      <c r="K1045" s="614">
        <f t="shared" si="34"/>
        <v>0</v>
      </c>
      <c r="L1045" s="614">
        <f t="shared" si="33"/>
        <v>0</v>
      </c>
    </row>
    <row r="1046" spans="1:12" ht="30" customHeight="1">
      <c r="A1046" s="241" t="s">
        <v>127</v>
      </c>
      <c r="B1046" s="329">
        <v>1304</v>
      </c>
      <c r="C1046" s="243" t="s">
        <v>507</v>
      </c>
      <c r="D1046" s="188">
        <v>6311</v>
      </c>
      <c r="E1046" s="192" t="s">
        <v>276</v>
      </c>
      <c r="F1046" s="226"/>
      <c r="G1046" s="294">
        <v>100000000</v>
      </c>
      <c r="H1046" s="294">
        <v>100000000</v>
      </c>
      <c r="I1046" s="294">
        <v>100000000</v>
      </c>
      <c r="J1046" s="315"/>
      <c r="K1046" s="614">
        <f t="shared" si="34"/>
        <v>100000000</v>
      </c>
      <c r="L1046" s="614">
        <f t="shared" si="33"/>
        <v>0</v>
      </c>
    </row>
    <row r="1047" spans="1:12" ht="30" customHeight="1">
      <c r="A1047" s="241" t="s">
        <v>127</v>
      </c>
      <c r="B1047" s="329">
        <v>1304</v>
      </c>
      <c r="C1047" s="243" t="s">
        <v>507</v>
      </c>
      <c r="D1047" s="257" t="s">
        <v>20</v>
      </c>
      <c r="E1047" s="267"/>
      <c r="F1047" s="267"/>
      <c r="G1047" s="98">
        <f>SUBTOTAL(109,G1046:G1046)</f>
        <v>100000000</v>
      </c>
      <c r="H1047" s="98">
        <f>SUBTOTAL(109,H1046:H1046)</f>
        <v>100000000</v>
      </c>
      <c r="I1047" s="98">
        <f>SUBTOTAL(109,I1046:I1046)</f>
        <v>100000000</v>
      </c>
      <c r="J1047" s="581">
        <f>SUBTOTAL(109,J1046:J1046)</f>
        <v>0</v>
      </c>
      <c r="K1047" s="614">
        <f t="shared" si="34"/>
        <v>100000000</v>
      </c>
      <c r="L1047" s="614">
        <f t="shared" si="33"/>
        <v>0</v>
      </c>
    </row>
    <row r="1048" spans="1:12" ht="30" customHeight="1">
      <c r="A1048" s="241" t="s">
        <v>127</v>
      </c>
      <c r="B1048" s="329">
        <v>1305</v>
      </c>
      <c r="C1048" s="243" t="s">
        <v>507</v>
      </c>
      <c r="D1048" s="254" t="s">
        <v>154</v>
      </c>
      <c r="E1048" s="272"/>
      <c r="F1048" s="272"/>
      <c r="G1048" s="242"/>
      <c r="H1048" s="242"/>
      <c r="I1048" s="242"/>
      <c r="J1048" s="315"/>
      <c r="K1048" s="614">
        <f t="shared" si="34"/>
        <v>0</v>
      </c>
      <c r="L1048" s="614">
        <f t="shared" si="33"/>
        <v>0</v>
      </c>
    </row>
    <row r="1049" spans="1:12" ht="30" customHeight="1">
      <c r="A1049" s="241" t="s">
        <v>127</v>
      </c>
      <c r="B1049" s="329">
        <v>1305</v>
      </c>
      <c r="C1049" s="243" t="s">
        <v>507</v>
      </c>
      <c r="D1049" s="188">
        <v>6611</v>
      </c>
      <c r="E1049" s="310" t="s">
        <v>6</v>
      </c>
      <c r="F1049" s="272">
        <v>9</v>
      </c>
      <c r="G1049" s="242">
        <v>27581196</v>
      </c>
      <c r="H1049" s="242">
        <v>24310065.409999996</v>
      </c>
      <c r="I1049" s="242">
        <v>27581196</v>
      </c>
      <c r="J1049" s="315"/>
      <c r="K1049" s="614">
        <f t="shared" si="34"/>
        <v>27581196</v>
      </c>
      <c r="L1049" s="614">
        <f t="shared" si="33"/>
        <v>3271130.5900000036</v>
      </c>
    </row>
    <row r="1050" spans="1:12" ht="30" customHeight="1">
      <c r="A1050" s="241" t="s">
        <v>127</v>
      </c>
      <c r="B1050" s="329">
        <v>1305</v>
      </c>
      <c r="C1050" s="243" t="s">
        <v>507</v>
      </c>
      <c r="D1050" s="188">
        <v>60100</v>
      </c>
      <c r="E1050" s="192" t="s">
        <v>7</v>
      </c>
      <c r="F1050" s="226"/>
      <c r="G1050" s="294">
        <v>500000</v>
      </c>
      <c r="H1050" s="294">
        <v>125000</v>
      </c>
      <c r="I1050" s="294">
        <v>500000</v>
      </c>
      <c r="J1050" s="315"/>
      <c r="K1050" s="614">
        <f t="shared" si="34"/>
        <v>500000</v>
      </c>
      <c r="L1050" s="614">
        <f t="shared" si="33"/>
        <v>375000</v>
      </c>
    </row>
    <row r="1051" spans="1:12" ht="30" customHeight="1">
      <c r="A1051" s="241" t="s">
        <v>127</v>
      </c>
      <c r="B1051" s="329">
        <v>1305</v>
      </c>
      <c r="C1051" s="243" t="s">
        <v>507</v>
      </c>
      <c r="D1051" s="188">
        <v>6122</v>
      </c>
      <c r="E1051" s="235" t="s">
        <v>582</v>
      </c>
      <c r="F1051" s="226"/>
      <c r="G1051" s="294">
        <v>400000</v>
      </c>
      <c r="H1051" s="294"/>
      <c r="I1051" s="294">
        <v>400000</v>
      </c>
      <c r="J1051" s="98"/>
      <c r="K1051" s="614">
        <f t="shared" si="34"/>
        <v>400000</v>
      </c>
      <c r="L1051" s="614">
        <f t="shared" si="33"/>
        <v>400000</v>
      </c>
    </row>
    <row r="1052" spans="1:12" ht="30" customHeight="1">
      <c r="A1052" s="241" t="s">
        <v>127</v>
      </c>
      <c r="B1052" s="329">
        <v>1305</v>
      </c>
      <c r="C1052" s="243" t="s">
        <v>507</v>
      </c>
      <c r="D1052" s="257" t="s">
        <v>20</v>
      </c>
      <c r="E1052" s="267"/>
      <c r="F1052" s="98">
        <f>SUBTOTAL(109,F1049:F1051)</f>
        <v>9</v>
      </c>
      <c r="G1052" s="98">
        <f>SUBTOTAL(109,G1049:G1051)</f>
        <v>28481196</v>
      </c>
      <c r="H1052" s="98">
        <f>SUBTOTAL(109,H1049:H1051)</f>
        <v>24435065.409999996</v>
      </c>
      <c r="I1052" s="98">
        <f>SUBTOTAL(109,I1049:I1051)</f>
        <v>28481196</v>
      </c>
      <c r="J1052" s="581">
        <f>SUBTOTAL(109,J1049:J1051)</f>
        <v>0</v>
      </c>
      <c r="K1052" s="614">
        <f t="shared" si="34"/>
        <v>28481196</v>
      </c>
      <c r="L1052" s="614">
        <f t="shared" si="33"/>
        <v>4046130.5900000036</v>
      </c>
    </row>
    <row r="1053" spans="1:12" ht="30" customHeight="1">
      <c r="A1053" s="241" t="s">
        <v>127</v>
      </c>
      <c r="B1053" s="329">
        <v>1306</v>
      </c>
      <c r="C1053" s="243" t="s">
        <v>478</v>
      </c>
      <c r="D1053" s="255" t="s">
        <v>155</v>
      </c>
      <c r="E1053" s="267"/>
      <c r="F1053" s="267"/>
      <c r="G1053" s="242"/>
      <c r="H1053" s="242"/>
      <c r="I1053" s="242"/>
      <c r="J1053" s="315"/>
      <c r="K1053" s="614">
        <f t="shared" si="34"/>
        <v>0</v>
      </c>
      <c r="L1053" s="614">
        <f t="shared" si="33"/>
        <v>0</v>
      </c>
    </row>
    <row r="1054" spans="1:12" ht="30" customHeight="1">
      <c r="A1054" s="241" t="s">
        <v>127</v>
      </c>
      <c r="B1054" s="329">
        <v>1306</v>
      </c>
      <c r="C1054" s="243" t="s">
        <v>478</v>
      </c>
      <c r="D1054" s="188">
        <v>6311</v>
      </c>
      <c r="E1054" s="192" t="s">
        <v>276</v>
      </c>
      <c r="F1054" s="226"/>
      <c r="G1054" s="242">
        <v>0</v>
      </c>
      <c r="H1054" s="242"/>
      <c r="I1054" s="242"/>
      <c r="J1054" s="315"/>
      <c r="K1054" s="614">
        <f t="shared" si="34"/>
        <v>0</v>
      </c>
      <c r="L1054" s="614">
        <f t="shared" si="33"/>
        <v>0</v>
      </c>
    </row>
    <row r="1055" spans="1:12" ht="30" customHeight="1">
      <c r="A1055" s="241" t="s">
        <v>127</v>
      </c>
      <c r="B1055" s="329">
        <v>1306</v>
      </c>
      <c r="C1055" s="243" t="s">
        <v>478</v>
      </c>
      <c r="D1055" s="257" t="s">
        <v>20</v>
      </c>
      <c r="E1055" s="267"/>
      <c r="F1055" s="267"/>
      <c r="G1055" s="98">
        <f>SUBTOTAL(109,G1054:G1054)</f>
        <v>0</v>
      </c>
      <c r="H1055" s="98"/>
      <c r="I1055" s="98"/>
      <c r="J1055" s="315"/>
      <c r="K1055" s="614">
        <f t="shared" si="34"/>
        <v>0</v>
      </c>
      <c r="L1055" s="614">
        <f t="shared" si="33"/>
        <v>0</v>
      </c>
    </row>
    <row r="1056" spans="1:12" ht="30" customHeight="1">
      <c r="A1056" s="241" t="s">
        <v>127</v>
      </c>
      <c r="B1056" s="329">
        <v>1307</v>
      </c>
      <c r="C1056" s="243" t="s">
        <v>478</v>
      </c>
      <c r="D1056" s="254" t="s">
        <v>156</v>
      </c>
      <c r="E1056" s="272"/>
      <c r="F1056" s="272"/>
      <c r="G1056" s="242"/>
      <c r="H1056" s="242"/>
      <c r="I1056" s="242"/>
      <c r="J1056" s="315"/>
      <c r="K1056" s="614">
        <f t="shared" si="34"/>
        <v>0</v>
      </c>
      <c r="L1056" s="614">
        <f t="shared" si="33"/>
        <v>0</v>
      </c>
    </row>
    <row r="1057" spans="1:12" ht="30" customHeight="1">
      <c r="A1057" s="241" t="s">
        <v>127</v>
      </c>
      <c r="B1057" s="329">
        <v>1307</v>
      </c>
      <c r="C1057" s="243" t="s">
        <v>478</v>
      </c>
      <c r="D1057" s="188">
        <v>60100</v>
      </c>
      <c r="E1057" s="192" t="s">
        <v>7</v>
      </c>
      <c r="F1057" s="226"/>
      <c r="G1057" s="294">
        <v>658000</v>
      </c>
      <c r="H1057" s="292"/>
      <c r="I1057" s="294">
        <v>658000</v>
      </c>
      <c r="J1057" s="315"/>
      <c r="K1057" s="614">
        <f t="shared" si="34"/>
        <v>658000</v>
      </c>
      <c r="L1057" s="614">
        <f t="shared" si="33"/>
        <v>658000</v>
      </c>
    </row>
    <row r="1058" spans="1:12" ht="30" customHeight="1">
      <c r="A1058" s="241" t="s">
        <v>127</v>
      </c>
      <c r="B1058" s="329">
        <v>1307</v>
      </c>
      <c r="C1058" s="243" t="s">
        <v>478</v>
      </c>
      <c r="D1058" s="188">
        <v>6122</v>
      </c>
      <c r="E1058" s="235" t="s">
        <v>582</v>
      </c>
      <c r="F1058" s="253"/>
      <c r="G1058" s="294"/>
      <c r="H1058" s="294"/>
      <c r="I1058" s="294"/>
      <c r="J1058" s="315"/>
      <c r="K1058" s="614">
        <f t="shared" si="34"/>
        <v>0</v>
      </c>
      <c r="L1058" s="614">
        <f t="shared" si="33"/>
        <v>0</v>
      </c>
    </row>
    <row r="1059" spans="1:12" ht="30" customHeight="1">
      <c r="A1059" s="241" t="s">
        <v>127</v>
      </c>
      <c r="B1059" s="329">
        <v>1307</v>
      </c>
      <c r="C1059" s="243" t="s">
        <v>478</v>
      </c>
      <c r="D1059" s="187">
        <v>6175</v>
      </c>
      <c r="E1059" s="301" t="s">
        <v>559</v>
      </c>
      <c r="F1059" s="253"/>
      <c r="G1059" s="294"/>
      <c r="H1059" s="338"/>
      <c r="I1059" s="294"/>
      <c r="J1059" s="98"/>
      <c r="K1059" s="614">
        <f t="shared" si="34"/>
        <v>0</v>
      </c>
      <c r="L1059" s="614">
        <f t="shared" si="33"/>
        <v>0</v>
      </c>
    </row>
    <row r="1060" spans="1:12" ht="30" customHeight="1">
      <c r="A1060" s="241" t="s">
        <v>127</v>
      </c>
      <c r="B1060" s="329">
        <v>1307</v>
      </c>
      <c r="C1060" s="243" t="s">
        <v>478</v>
      </c>
      <c r="D1060" s="187">
        <v>6111</v>
      </c>
      <c r="E1060" s="194" t="s">
        <v>558</v>
      </c>
      <c r="F1060" s="253"/>
      <c r="G1060" s="294"/>
      <c r="H1060" s="338"/>
      <c r="I1060" s="294"/>
      <c r="J1060" s="98"/>
      <c r="K1060" s="614">
        <f t="shared" si="34"/>
        <v>0</v>
      </c>
      <c r="L1060" s="614">
        <f t="shared" si="33"/>
        <v>0</v>
      </c>
    </row>
    <row r="1061" spans="1:12" ht="30" customHeight="1">
      <c r="A1061" s="241" t="s">
        <v>127</v>
      </c>
      <c r="B1061" s="329">
        <v>1307</v>
      </c>
      <c r="C1061" s="243" t="s">
        <v>478</v>
      </c>
      <c r="D1061" s="187">
        <v>6174</v>
      </c>
      <c r="E1061" s="194" t="s">
        <v>27</v>
      </c>
      <c r="F1061" s="253"/>
      <c r="G1061" s="294"/>
      <c r="H1061" s="338"/>
      <c r="I1061" s="294"/>
      <c r="J1061" s="315"/>
      <c r="K1061" s="614">
        <f t="shared" si="34"/>
        <v>0</v>
      </c>
      <c r="L1061" s="614">
        <f t="shared" si="33"/>
        <v>0</v>
      </c>
    </row>
    <row r="1062" spans="1:12" ht="30" customHeight="1">
      <c r="A1062" s="241" t="s">
        <v>127</v>
      </c>
      <c r="B1062" s="329">
        <v>1307</v>
      </c>
      <c r="C1062" s="243" t="s">
        <v>478</v>
      </c>
      <c r="D1062" s="187">
        <v>6172</v>
      </c>
      <c r="E1062" s="192" t="s">
        <v>157</v>
      </c>
      <c r="F1062" s="226"/>
      <c r="G1062" s="294">
        <v>0</v>
      </c>
      <c r="H1062" s="242"/>
      <c r="I1062" s="294">
        <v>0</v>
      </c>
      <c r="J1062" s="315"/>
      <c r="K1062" s="614">
        <f t="shared" si="34"/>
        <v>0</v>
      </c>
      <c r="L1062" s="614">
        <f t="shared" si="33"/>
        <v>0</v>
      </c>
    </row>
    <row r="1063" spans="1:12" ht="30" customHeight="1">
      <c r="A1063" s="241" t="s">
        <v>127</v>
      </c>
      <c r="B1063" s="329">
        <v>1307</v>
      </c>
      <c r="C1063" s="243" t="s">
        <v>478</v>
      </c>
      <c r="D1063" s="257" t="s">
        <v>20</v>
      </c>
      <c r="E1063" s="267"/>
      <c r="F1063" s="267"/>
      <c r="G1063" s="98">
        <f>SUBTOTAL(109,G1057:G1062)</f>
        <v>658000</v>
      </c>
      <c r="H1063" s="98">
        <f>SUBTOTAL(109,H1057:H1062)</f>
        <v>0</v>
      </c>
      <c r="I1063" s="98">
        <f>SUBTOTAL(109,I1057:I1062)</f>
        <v>658000</v>
      </c>
      <c r="J1063" s="581">
        <f>SUBTOTAL(109,J1057:J1062)</f>
        <v>0</v>
      </c>
      <c r="K1063" s="614">
        <f t="shared" si="34"/>
        <v>658000</v>
      </c>
      <c r="L1063" s="614">
        <f t="shared" si="33"/>
        <v>658000</v>
      </c>
    </row>
    <row r="1064" spans="1:12" ht="30" customHeight="1">
      <c r="A1064" s="241" t="s">
        <v>127</v>
      </c>
      <c r="B1064" s="329">
        <v>1308</v>
      </c>
      <c r="C1064" s="243" t="s">
        <v>478</v>
      </c>
      <c r="D1064" s="254" t="s">
        <v>158</v>
      </c>
      <c r="E1064" s="272"/>
      <c r="F1064" s="272"/>
      <c r="G1064" s="336"/>
      <c r="H1064" s="336"/>
      <c r="I1064" s="336"/>
      <c r="J1064" s="315"/>
      <c r="K1064" s="614">
        <f t="shared" si="34"/>
        <v>0</v>
      </c>
      <c r="L1064" s="614">
        <f t="shared" si="33"/>
        <v>0</v>
      </c>
    </row>
    <row r="1065" spans="1:12" ht="30" customHeight="1">
      <c r="A1065" s="241" t="s">
        <v>127</v>
      </c>
      <c r="B1065" s="329">
        <v>1308</v>
      </c>
      <c r="C1065" s="243" t="s">
        <v>478</v>
      </c>
      <c r="D1065" s="188">
        <v>6611</v>
      </c>
      <c r="E1065" s="192" t="s">
        <v>6</v>
      </c>
      <c r="F1065" s="272">
        <v>10</v>
      </c>
      <c r="G1065" s="294">
        <v>27494004</v>
      </c>
      <c r="H1065" s="294">
        <v>32561936.86000001</v>
      </c>
      <c r="I1065" s="294">
        <v>27494004</v>
      </c>
      <c r="J1065" s="315"/>
      <c r="K1065" s="614">
        <f t="shared" si="34"/>
        <v>27494004</v>
      </c>
      <c r="L1065" s="614">
        <f t="shared" si="33"/>
        <v>-5067932.860000011</v>
      </c>
    </row>
    <row r="1066" spans="1:12" ht="30" customHeight="1">
      <c r="A1066" s="241" t="s">
        <v>127</v>
      </c>
      <c r="B1066" s="329">
        <v>1308</v>
      </c>
      <c r="C1066" s="243" t="s">
        <v>478</v>
      </c>
      <c r="D1066" s="188">
        <v>60100</v>
      </c>
      <c r="E1066" s="192" t="s">
        <v>7</v>
      </c>
      <c r="F1066" s="226"/>
      <c r="G1066" s="294">
        <v>775000</v>
      </c>
      <c r="H1066" s="294">
        <v>308650</v>
      </c>
      <c r="I1066" s="294">
        <v>775000</v>
      </c>
      <c r="J1066" s="315"/>
      <c r="K1066" s="614">
        <f t="shared" si="34"/>
        <v>775000</v>
      </c>
      <c r="L1066" s="614">
        <f t="shared" si="33"/>
        <v>466350</v>
      </c>
    </row>
    <row r="1067" spans="1:12" ht="30" customHeight="1">
      <c r="A1067" s="241" t="s">
        <v>127</v>
      </c>
      <c r="B1067" s="329">
        <v>1308</v>
      </c>
      <c r="C1067" s="243" t="s">
        <v>478</v>
      </c>
      <c r="D1067" s="188">
        <v>6122</v>
      </c>
      <c r="E1067" s="235" t="s">
        <v>582</v>
      </c>
      <c r="F1067" s="253"/>
      <c r="G1067" s="294">
        <v>500000</v>
      </c>
      <c r="H1067" s="294"/>
      <c r="I1067" s="294">
        <v>500000</v>
      </c>
      <c r="J1067" s="315"/>
      <c r="K1067" s="614">
        <f t="shared" si="34"/>
        <v>500000</v>
      </c>
      <c r="L1067" s="614">
        <f t="shared" si="33"/>
        <v>500000</v>
      </c>
    </row>
    <row r="1068" spans="1:12" ht="30" customHeight="1">
      <c r="A1068" s="241" t="s">
        <v>127</v>
      </c>
      <c r="B1068" s="329">
        <v>1308</v>
      </c>
      <c r="C1068" s="243" t="s">
        <v>478</v>
      </c>
      <c r="D1068" s="187">
        <v>6133</v>
      </c>
      <c r="E1068" s="194" t="s">
        <v>110</v>
      </c>
      <c r="F1068" s="253"/>
      <c r="G1068" s="294"/>
      <c r="H1068" s="294"/>
      <c r="I1068" s="294"/>
      <c r="J1068" s="315"/>
      <c r="K1068" s="614">
        <f t="shared" si="34"/>
        <v>0</v>
      </c>
      <c r="L1068" s="614">
        <f t="shared" si="33"/>
        <v>0</v>
      </c>
    </row>
    <row r="1069" spans="1:12" ht="30" customHeight="1">
      <c r="A1069" s="241" t="s">
        <v>127</v>
      </c>
      <c r="B1069" s="329">
        <v>1308</v>
      </c>
      <c r="C1069" s="243" t="s">
        <v>478</v>
      </c>
      <c r="D1069" s="187">
        <v>6111</v>
      </c>
      <c r="E1069" s="194" t="s">
        <v>236</v>
      </c>
      <c r="F1069" s="253"/>
      <c r="G1069" s="294"/>
      <c r="H1069" s="294"/>
      <c r="I1069" s="294"/>
      <c r="J1069" s="315"/>
      <c r="K1069" s="614">
        <f t="shared" si="34"/>
        <v>0</v>
      </c>
      <c r="L1069" s="614">
        <f t="shared" si="33"/>
        <v>0</v>
      </c>
    </row>
    <row r="1070" spans="1:12" ht="30" customHeight="1">
      <c r="A1070" s="241" t="s">
        <v>127</v>
      </c>
      <c r="B1070" s="329">
        <v>1308</v>
      </c>
      <c r="C1070" s="243" t="s">
        <v>478</v>
      </c>
      <c r="D1070" s="187">
        <v>6175</v>
      </c>
      <c r="E1070" s="194" t="s">
        <v>13</v>
      </c>
      <c r="F1070" s="253"/>
      <c r="G1070" s="294"/>
      <c r="H1070" s="294"/>
      <c r="I1070" s="294"/>
      <c r="J1070" s="315"/>
      <c r="K1070" s="614">
        <f t="shared" si="34"/>
        <v>0</v>
      </c>
      <c r="L1070" s="614">
        <f t="shared" si="33"/>
        <v>0</v>
      </c>
    </row>
    <row r="1071" spans="1:12" ht="30" customHeight="1">
      <c r="A1071" s="241" t="s">
        <v>127</v>
      </c>
      <c r="B1071" s="329">
        <v>1308</v>
      </c>
      <c r="C1071" s="243" t="s">
        <v>478</v>
      </c>
      <c r="D1071" s="257" t="s">
        <v>20</v>
      </c>
      <c r="E1071" s="267"/>
      <c r="F1071" s="98">
        <f>SUBTOTAL(109,F1065:F1070)</f>
        <v>10</v>
      </c>
      <c r="G1071" s="98">
        <f>SUBTOTAL(109,G1065:G1070)</f>
        <v>28769004</v>
      </c>
      <c r="H1071" s="98">
        <f>SUBTOTAL(109,H1065:H1070)</f>
        <v>32870586.86000001</v>
      </c>
      <c r="I1071" s="98">
        <f>SUBTOTAL(109,I1065:I1070)</f>
        <v>28769004</v>
      </c>
      <c r="J1071" s="581">
        <f>SUBTOTAL(109,J1065:J1070)</f>
        <v>0</v>
      </c>
      <c r="K1071" s="614">
        <f t="shared" si="34"/>
        <v>28769004</v>
      </c>
      <c r="L1071" s="614">
        <f t="shared" si="33"/>
        <v>-4101582.8600000106</v>
      </c>
    </row>
    <row r="1072" spans="1:12" ht="30" customHeight="1">
      <c r="A1072" s="241" t="s">
        <v>127</v>
      </c>
      <c r="B1072" s="329">
        <v>1309</v>
      </c>
      <c r="C1072" s="243" t="s">
        <v>506</v>
      </c>
      <c r="D1072" s="254" t="s">
        <v>159</v>
      </c>
      <c r="E1072" s="272"/>
      <c r="F1072" s="272"/>
      <c r="G1072" s="242"/>
      <c r="H1072" s="242"/>
      <c r="I1072" s="242"/>
      <c r="J1072" s="315"/>
      <c r="K1072" s="614">
        <f t="shared" si="34"/>
        <v>0</v>
      </c>
      <c r="L1072" s="614">
        <f t="shared" si="33"/>
        <v>0</v>
      </c>
    </row>
    <row r="1073" spans="1:12" ht="30" customHeight="1">
      <c r="A1073" s="241" t="s">
        <v>127</v>
      </c>
      <c r="B1073" s="329">
        <v>1309</v>
      </c>
      <c r="C1073" s="243" t="s">
        <v>506</v>
      </c>
      <c r="D1073" s="188">
        <v>6611</v>
      </c>
      <c r="E1073" s="192" t="s">
        <v>6</v>
      </c>
      <c r="F1073" s="272">
        <v>394</v>
      </c>
      <c r="G1073" s="242">
        <v>688337644</v>
      </c>
      <c r="H1073" s="242">
        <v>648862957.8</v>
      </c>
      <c r="I1073" s="242">
        <v>688337644</v>
      </c>
      <c r="J1073" s="315"/>
      <c r="K1073" s="614">
        <f t="shared" si="34"/>
        <v>688337644</v>
      </c>
      <c r="L1073" s="614">
        <f t="shared" si="33"/>
        <v>39474686.20000005</v>
      </c>
    </row>
    <row r="1074" spans="1:12" ht="30" customHeight="1">
      <c r="A1074" s="241" t="s">
        <v>127</v>
      </c>
      <c r="B1074" s="329">
        <v>1309</v>
      </c>
      <c r="C1074" s="243" t="s">
        <v>506</v>
      </c>
      <c r="D1074" s="188">
        <v>60100</v>
      </c>
      <c r="E1074" s="192" t="s">
        <v>7</v>
      </c>
      <c r="F1074" s="226"/>
      <c r="G1074" s="294">
        <v>2308393</v>
      </c>
      <c r="H1074" s="294"/>
      <c r="I1074" s="294">
        <v>2308393</v>
      </c>
      <c r="J1074" s="315"/>
      <c r="K1074" s="614">
        <f t="shared" si="34"/>
        <v>2308393</v>
      </c>
      <c r="L1074" s="614">
        <f t="shared" si="33"/>
        <v>2308393</v>
      </c>
    </row>
    <row r="1075" spans="1:12" ht="30" customHeight="1">
      <c r="A1075" s="241" t="s">
        <v>127</v>
      </c>
      <c r="B1075" s="329">
        <v>1309</v>
      </c>
      <c r="C1075" s="243" t="s">
        <v>506</v>
      </c>
      <c r="D1075" s="188">
        <v>6122</v>
      </c>
      <c r="E1075" s="235" t="s">
        <v>582</v>
      </c>
      <c r="F1075" s="253"/>
      <c r="G1075" s="294">
        <v>1806000</v>
      </c>
      <c r="H1075" s="294"/>
      <c r="I1075" s="294">
        <v>1806000</v>
      </c>
      <c r="J1075" s="315"/>
      <c r="K1075" s="614">
        <f t="shared" si="34"/>
        <v>1806000</v>
      </c>
      <c r="L1075" s="614">
        <f t="shared" si="33"/>
        <v>1806000</v>
      </c>
    </row>
    <row r="1076" spans="1:12" ht="30" customHeight="1">
      <c r="A1076" s="241" t="s">
        <v>127</v>
      </c>
      <c r="B1076" s="329">
        <v>1309</v>
      </c>
      <c r="C1076" s="243" t="s">
        <v>506</v>
      </c>
      <c r="D1076" s="187">
        <v>6174</v>
      </c>
      <c r="E1076" s="194" t="s">
        <v>40</v>
      </c>
      <c r="F1076" s="253"/>
      <c r="G1076" s="294">
        <v>1809000</v>
      </c>
      <c r="H1076" s="294"/>
      <c r="I1076" s="294">
        <v>1809000</v>
      </c>
      <c r="J1076" s="315"/>
      <c r="K1076" s="614">
        <f t="shared" si="34"/>
        <v>1809000</v>
      </c>
      <c r="L1076" s="614">
        <f t="shared" si="33"/>
        <v>1809000</v>
      </c>
    </row>
    <row r="1077" spans="1:12" ht="30" customHeight="1">
      <c r="A1077" s="241" t="s">
        <v>127</v>
      </c>
      <c r="B1077" s="329">
        <v>1309</v>
      </c>
      <c r="C1077" s="243" t="s">
        <v>506</v>
      </c>
      <c r="D1077" s="188">
        <v>6021</v>
      </c>
      <c r="E1077" s="192" t="s">
        <v>124</v>
      </c>
      <c r="F1077" s="226"/>
      <c r="G1077" s="294"/>
      <c r="H1077" s="294"/>
      <c r="I1077" s="294"/>
      <c r="J1077" s="315"/>
      <c r="K1077" s="614">
        <f t="shared" si="34"/>
        <v>0</v>
      </c>
      <c r="L1077" s="614">
        <f t="shared" si="33"/>
        <v>0</v>
      </c>
    </row>
    <row r="1078" spans="1:12" ht="30" customHeight="1">
      <c r="A1078" s="241" t="s">
        <v>127</v>
      </c>
      <c r="B1078" s="329">
        <v>1309</v>
      </c>
      <c r="C1078" s="243"/>
      <c r="D1078" s="188">
        <v>2183</v>
      </c>
      <c r="E1078" s="179" t="s">
        <v>569</v>
      </c>
      <c r="F1078" s="226"/>
      <c r="G1078" s="294"/>
      <c r="H1078" s="338"/>
      <c r="I1078" s="294"/>
      <c r="J1078" s="315"/>
      <c r="K1078" s="614">
        <f t="shared" si="34"/>
        <v>0</v>
      </c>
      <c r="L1078" s="614">
        <f t="shared" si="33"/>
        <v>0</v>
      </c>
    </row>
    <row r="1079" spans="1:12" ht="30" customHeight="1">
      <c r="A1079" s="241" t="s">
        <v>127</v>
      </c>
      <c r="B1079" s="329">
        <v>1309</v>
      </c>
      <c r="C1079" s="243" t="s">
        <v>506</v>
      </c>
      <c r="D1079" s="257" t="s">
        <v>20</v>
      </c>
      <c r="E1079" s="267"/>
      <c r="F1079" s="98">
        <f>SUBTOTAL(109,F1073:F1076)</f>
        <v>394</v>
      </c>
      <c r="G1079" s="98">
        <f>SUBTOTAL(109,G1073:G1076)</f>
        <v>694261037</v>
      </c>
      <c r="H1079" s="98">
        <f>SUBTOTAL(109,H1073:H1076)</f>
        <v>648862957.8</v>
      </c>
      <c r="I1079" s="98">
        <f>SUBTOTAL(109,I1073:I1076)</f>
        <v>694261037</v>
      </c>
      <c r="J1079" s="581">
        <f>SUBTOTAL(109,J1073:J1076)</f>
        <v>0</v>
      </c>
      <c r="K1079" s="614">
        <f t="shared" si="34"/>
        <v>694261037</v>
      </c>
      <c r="L1079" s="614">
        <f t="shared" si="33"/>
        <v>45398079.20000005</v>
      </c>
    </row>
    <row r="1080" spans="1:12" ht="30" customHeight="1">
      <c r="A1080" s="241" t="s">
        <v>127</v>
      </c>
      <c r="B1080" s="329">
        <v>1310</v>
      </c>
      <c r="C1080" s="243" t="s">
        <v>506</v>
      </c>
      <c r="D1080" s="254" t="s">
        <v>311</v>
      </c>
      <c r="E1080" s="267"/>
      <c r="F1080" s="267"/>
      <c r="G1080" s="242"/>
      <c r="H1080" s="242"/>
      <c r="I1080" s="242"/>
      <c r="J1080" s="315"/>
      <c r="K1080" s="614">
        <f t="shared" si="34"/>
        <v>0</v>
      </c>
      <c r="L1080" s="614">
        <f t="shared" si="33"/>
        <v>0</v>
      </c>
    </row>
    <row r="1081" spans="1:12" ht="30" customHeight="1">
      <c r="A1081" s="241" t="s">
        <v>127</v>
      </c>
      <c r="B1081" s="329">
        <v>1310</v>
      </c>
      <c r="C1081" s="243" t="s">
        <v>506</v>
      </c>
      <c r="D1081" s="188">
        <v>60100</v>
      </c>
      <c r="E1081" s="192" t="s">
        <v>7</v>
      </c>
      <c r="F1081" s="226"/>
      <c r="G1081" s="294">
        <v>505000</v>
      </c>
      <c r="H1081" s="294"/>
      <c r="I1081" s="294">
        <v>505000</v>
      </c>
      <c r="J1081" s="315"/>
      <c r="K1081" s="614">
        <f t="shared" si="34"/>
        <v>505000</v>
      </c>
      <c r="L1081" s="614">
        <f t="shared" si="33"/>
        <v>505000</v>
      </c>
    </row>
    <row r="1082" spans="1:12" ht="30" customHeight="1">
      <c r="A1082" s="241" t="s">
        <v>127</v>
      </c>
      <c r="B1082" s="329">
        <v>1310</v>
      </c>
      <c r="C1082" s="243" t="s">
        <v>506</v>
      </c>
      <c r="D1082" s="188">
        <v>6122</v>
      </c>
      <c r="E1082" s="235" t="s">
        <v>582</v>
      </c>
      <c r="F1082" s="253"/>
      <c r="G1082" s="294">
        <v>404000</v>
      </c>
      <c r="H1082" s="294"/>
      <c r="I1082" s="294">
        <v>404000</v>
      </c>
      <c r="J1082" s="315"/>
      <c r="K1082" s="614">
        <f t="shared" si="34"/>
        <v>404000</v>
      </c>
      <c r="L1082" s="614">
        <f t="shared" si="33"/>
        <v>404000</v>
      </c>
    </row>
    <row r="1083" spans="1:12" ht="30" customHeight="1">
      <c r="A1083" s="241" t="s">
        <v>127</v>
      </c>
      <c r="B1083" s="329">
        <v>1310</v>
      </c>
      <c r="C1083" s="243" t="s">
        <v>506</v>
      </c>
      <c r="D1083" s="187">
        <v>6174</v>
      </c>
      <c r="E1083" s="194" t="s">
        <v>40</v>
      </c>
      <c r="F1083" s="253"/>
      <c r="G1083" s="294">
        <v>505000</v>
      </c>
      <c r="H1083" s="294"/>
      <c r="I1083" s="294">
        <v>505000</v>
      </c>
      <c r="J1083" s="315"/>
      <c r="K1083" s="614">
        <f t="shared" si="34"/>
        <v>505000</v>
      </c>
      <c r="L1083" s="614">
        <f t="shared" si="33"/>
        <v>505000</v>
      </c>
    </row>
    <row r="1084" spans="1:12" ht="30" customHeight="1">
      <c r="A1084" s="241" t="s">
        <v>127</v>
      </c>
      <c r="B1084" s="329">
        <v>1310</v>
      </c>
      <c r="C1084" s="243" t="s">
        <v>506</v>
      </c>
      <c r="D1084" s="257" t="s">
        <v>20</v>
      </c>
      <c r="E1084" s="267"/>
      <c r="F1084" s="267"/>
      <c r="G1084" s="98">
        <f>SUBTOTAL(109,G1081:G1083)</f>
        <v>1414000</v>
      </c>
      <c r="H1084" s="98">
        <f>SUBTOTAL(109,H1081:H1083)</f>
        <v>0</v>
      </c>
      <c r="I1084" s="98">
        <f>SUBTOTAL(109,I1081:I1083)</f>
        <v>1414000</v>
      </c>
      <c r="J1084" s="581">
        <f>SUBTOTAL(109,J1081:J1083)</f>
        <v>0</v>
      </c>
      <c r="K1084" s="614">
        <f t="shared" si="34"/>
        <v>1414000</v>
      </c>
      <c r="L1084" s="614">
        <f t="shared" si="33"/>
        <v>1414000</v>
      </c>
    </row>
    <row r="1085" spans="1:12" ht="30" customHeight="1">
      <c r="A1085" s="241" t="s">
        <v>127</v>
      </c>
      <c r="B1085" s="329">
        <v>1311</v>
      </c>
      <c r="C1085" s="243" t="s">
        <v>506</v>
      </c>
      <c r="D1085" s="252" t="s">
        <v>312</v>
      </c>
      <c r="E1085" s="267"/>
      <c r="F1085" s="267"/>
      <c r="G1085" s="242"/>
      <c r="H1085" s="242"/>
      <c r="I1085" s="242"/>
      <c r="J1085" s="315"/>
      <c r="K1085" s="614">
        <f t="shared" si="34"/>
        <v>0</v>
      </c>
      <c r="L1085" s="614">
        <f t="shared" si="33"/>
        <v>0</v>
      </c>
    </row>
    <row r="1086" spans="1:12" ht="30" customHeight="1">
      <c r="A1086" s="241" t="s">
        <v>127</v>
      </c>
      <c r="B1086" s="329">
        <v>1311</v>
      </c>
      <c r="C1086" s="243" t="s">
        <v>506</v>
      </c>
      <c r="D1086" s="188">
        <v>60100</v>
      </c>
      <c r="E1086" s="192" t="s">
        <v>7</v>
      </c>
      <c r="F1086" s="226"/>
      <c r="G1086" s="294">
        <v>500000</v>
      </c>
      <c r="H1086" s="294"/>
      <c r="I1086" s="294">
        <v>500000</v>
      </c>
      <c r="J1086" s="315"/>
      <c r="K1086" s="614">
        <f t="shared" si="34"/>
        <v>500000</v>
      </c>
      <c r="L1086" s="614">
        <f t="shared" si="33"/>
        <v>500000</v>
      </c>
    </row>
    <row r="1087" spans="1:12" ht="30" customHeight="1">
      <c r="A1087" s="241" t="s">
        <v>127</v>
      </c>
      <c r="B1087" s="329">
        <v>1311</v>
      </c>
      <c r="C1087" s="243" t="s">
        <v>506</v>
      </c>
      <c r="D1087" s="188">
        <v>6122</v>
      </c>
      <c r="E1087" s="235" t="s">
        <v>582</v>
      </c>
      <c r="F1087" s="253"/>
      <c r="G1087" s="294">
        <v>400000</v>
      </c>
      <c r="H1087" s="294"/>
      <c r="I1087" s="294">
        <v>400000</v>
      </c>
      <c r="J1087" s="315"/>
      <c r="K1087" s="614">
        <f t="shared" si="34"/>
        <v>400000</v>
      </c>
      <c r="L1087" s="614">
        <f t="shared" si="33"/>
        <v>400000</v>
      </c>
    </row>
    <row r="1088" spans="1:12" ht="30" customHeight="1">
      <c r="A1088" s="241" t="s">
        <v>127</v>
      </c>
      <c r="B1088" s="329">
        <v>1311</v>
      </c>
      <c r="C1088" s="243" t="s">
        <v>506</v>
      </c>
      <c r="D1088" s="187">
        <v>6174</v>
      </c>
      <c r="E1088" s="194" t="s">
        <v>40</v>
      </c>
      <c r="F1088" s="253"/>
      <c r="G1088" s="294">
        <v>450000</v>
      </c>
      <c r="H1088" s="294"/>
      <c r="I1088" s="294">
        <v>450000</v>
      </c>
      <c r="J1088" s="315"/>
      <c r="K1088" s="614">
        <f t="shared" si="34"/>
        <v>450000</v>
      </c>
      <c r="L1088" s="614">
        <f t="shared" si="33"/>
        <v>450000</v>
      </c>
    </row>
    <row r="1089" spans="1:12" ht="30" customHeight="1">
      <c r="A1089" s="241" t="s">
        <v>127</v>
      </c>
      <c r="B1089" s="329">
        <v>1311</v>
      </c>
      <c r="C1089" s="243" t="s">
        <v>506</v>
      </c>
      <c r="D1089" s="257" t="s">
        <v>20</v>
      </c>
      <c r="E1089" s="267"/>
      <c r="F1089" s="267"/>
      <c r="G1089" s="98">
        <f>SUBTOTAL(109,G1086:G1088)</f>
        <v>1350000</v>
      </c>
      <c r="H1089" s="98">
        <f>SUBTOTAL(109,H1086:H1088)</f>
        <v>0</v>
      </c>
      <c r="I1089" s="98">
        <f>SUBTOTAL(109,I1086:I1088)</f>
        <v>1350000</v>
      </c>
      <c r="J1089" s="581">
        <f>SUBTOTAL(109,J1086:J1088)</f>
        <v>0</v>
      </c>
      <c r="K1089" s="614">
        <f t="shared" si="34"/>
        <v>1350000</v>
      </c>
      <c r="L1089" s="614">
        <f t="shared" si="33"/>
        <v>1350000</v>
      </c>
    </row>
    <row r="1090" spans="1:12" ht="30" customHeight="1">
      <c r="A1090" s="241" t="s">
        <v>127</v>
      </c>
      <c r="B1090" s="329">
        <v>1312</v>
      </c>
      <c r="C1090" s="243" t="s">
        <v>508</v>
      </c>
      <c r="D1090" s="254" t="s">
        <v>209</v>
      </c>
      <c r="E1090" s="272"/>
      <c r="F1090" s="272"/>
      <c r="G1090" s="242"/>
      <c r="H1090" s="242"/>
      <c r="I1090" s="242"/>
      <c r="J1090" s="315"/>
      <c r="K1090" s="614">
        <f t="shared" si="34"/>
        <v>0</v>
      </c>
      <c r="L1090" s="614">
        <f t="shared" si="33"/>
        <v>0</v>
      </c>
    </row>
    <row r="1091" spans="1:12" ht="30" customHeight="1">
      <c r="A1091" s="241" t="s">
        <v>127</v>
      </c>
      <c r="B1091" s="329">
        <v>1312</v>
      </c>
      <c r="C1091" s="243" t="s">
        <v>508</v>
      </c>
      <c r="D1091" s="188">
        <v>6682</v>
      </c>
      <c r="E1091" s="192" t="s">
        <v>262</v>
      </c>
      <c r="F1091" s="226"/>
      <c r="G1091" s="294"/>
      <c r="H1091" s="294"/>
      <c r="I1091" s="294"/>
      <c r="J1091" s="315"/>
      <c r="K1091" s="614">
        <f t="shared" si="34"/>
        <v>0</v>
      </c>
      <c r="L1091" s="614">
        <f t="shared" si="33"/>
        <v>0</v>
      </c>
    </row>
    <row r="1092" spans="1:12" ht="30" customHeight="1">
      <c r="A1092" s="241" t="s">
        <v>127</v>
      </c>
      <c r="B1092" s="329">
        <v>1312</v>
      </c>
      <c r="C1092" s="243" t="s">
        <v>508</v>
      </c>
      <c r="D1092" s="188">
        <v>60100</v>
      </c>
      <c r="E1092" s="192" t="s">
        <v>7</v>
      </c>
      <c r="F1092" s="226"/>
      <c r="G1092" s="294">
        <v>2000000</v>
      </c>
      <c r="H1092" s="292">
        <v>1500000</v>
      </c>
      <c r="I1092" s="294">
        <v>2000000</v>
      </c>
      <c r="J1092" s="315"/>
      <c r="K1092" s="614">
        <f t="shared" si="34"/>
        <v>2000000</v>
      </c>
      <c r="L1092" s="614">
        <f t="shared" si="33"/>
        <v>500000</v>
      </c>
    </row>
    <row r="1093" spans="1:12" ht="30" customHeight="1">
      <c r="A1093" s="241" t="s">
        <v>127</v>
      </c>
      <c r="B1093" s="329">
        <v>1312</v>
      </c>
      <c r="C1093" s="243" t="s">
        <v>508</v>
      </c>
      <c r="D1093" s="188">
        <v>6041</v>
      </c>
      <c r="E1093" s="192" t="s">
        <v>170</v>
      </c>
      <c r="F1093" s="226"/>
      <c r="G1093" s="294"/>
      <c r="H1093" s="294"/>
      <c r="I1093" s="294"/>
      <c r="J1093" s="315"/>
      <c r="K1093" s="614">
        <f t="shared" si="34"/>
        <v>0</v>
      </c>
      <c r="L1093" s="614">
        <f t="shared" si="33"/>
        <v>0</v>
      </c>
    </row>
    <row r="1094" spans="1:12" ht="30" customHeight="1">
      <c r="A1094" s="241" t="s">
        <v>127</v>
      </c>
      <c r="B1094" s="329">
        <v>1312</v>
      </c>
      <c r="C1094" s="243" t="s">
        <v>508</v>
      </c>
      <c r="D1094" s="188">
        <v>6122</v>
      </c>
      <c r="E1094" s="235" t="s">
        <v>582</v>
      </c>
      <c r="F1094" s="226"/>
      <c r="G1094" s="294"/>
      <c r="H1094" s="294"/>
      <c r="I1094" s="294"/>
      <c r="J1094" s="315"/>
      <c r="K1094" s="614">
        <f t="shared" si="34"/>
        <v>0</v>
      </c>
      <c r="L1094" s="614">
        <f t="shared" si="33"/>
        <v>0</v>
      </c>
    </row>
    <row r="1095" spans="1:12" ht="30" customHeight="1">
      <c r="A1095" s="241" t="s">
        <v>127</v>
      </c>
      <c r="B1095" s="329">
        <v>1312</v>
      </c>
      <c r="C1095" s="243" t="s">
        <v>508</v>
      </c>
      <c r="D1095" s="188">
        <v>6133</v>
      </c>
      <c r="E1095" s="192" t="s">
        <v>110</v>
      </c>
      <c r="F1095" s="226"/>
      <c r="G1095" s="294"/>
      <c r="H1095" s="294"/>
      <c r="I1095" s="294"/>
      <c r="J1095" s="315"/>
      <c r="K1095" s="614">
        <f t="shared" si="34"/>
        <v>0</v>
      </c>
      <c r="L1095" s="614">
        <f aca="true" t="shared" si="35" ref="L1095:L1158">K1095-H1095</f>
        <v>0</v>
      </c>
    </row>
    <row r="1096" spans="1:12" ht="30" customHeight="1">
      <c r="A1096" s="241" t="s">
        <v>127</v>
      </c>
      <c r="B1096" s="329">
        <v>1312</v>
      </c>
      <c r="C1096" s="243" t="s">
        <v>508</v>
      </c>
      <c r="D1096" s="188">
        <v>6052</v>
      </c>
      <c r="E1096" s="192" t="s">
        <v>598</v>
      </c>
      <c r="F1096" s="226"/>
      <c r="G1096" s="294"/>
      <c r="H1096" s="294"/>
      <c r="I1096" s="294"/>
      <c r="J1096" s="315"/>
      <c r="K1096" s="614">
        <f t="shared" si="34"/>
        <v>0</v>
      </c>
      <c r="L1096" s="614">
        <f t="shared" si="35"/>
        <v>0</v>
      </c>
    </row>
    <row r="1097" spans="1:12" ht="30" customHeight="1">
      <c r="A1097" s="241" t="s">
        <v>127</v>
      </c>
      <c r="B1097" s="329">
        <v>1312</v>
      </c>
      <c r="C1097" s="243" t="s">
        <v>508</v>
      </c>
      <c r="D1097" s="188">
        <v>6152</v>
      </c>
      <c r="E1097" s="192" t="s">
        <v>256</v>
      </c>
      <c r="F1097" s="226"/>
      <c r="G1097" s="294"/>
      <c r="H1097" s="294"/>
      <c r="I1097" s="294"/>
      <c r="J1097" s="98"/>
      <c r="K1097" s="614">
        <f t="shared" si="34"/>
        <v>0</v>
      </c>
      <c r="L1097" s="614">
        <f t="shared" si="35"/>
        <v>0</v>
      </c>
    </row>
    <row r="1098" spans="1:12" ht="30" customHeight="1">
      <c r="A1098" s="241" t="s">
        <v>127</v>
      </c>
      <c r="B1098" s="329">
        <v>1312</v>
      </c>
      <c r="C1098" s="243" t="s">
        <v>508</v>
      </c>
      <c r="D1098" s="188">
        <v>6111</v>
      </c>
      <c r="E1098" s="192" t="s">
        <v>238</v>
      </c>
      <c r="F1098" s="226"/>
      <c r="G1098" s="294"/>
      <c r="H1098" s="294"/>
      <c r="I1098" s="294"/>
      <c r="J1098" s="98"/>
      <c r="K1098" s="614">
        <f t="shared" si="34"/>
        <v>0</v>
      </c>
      <c r="L1098" s="614">
        <f t="shared" si="35"/>
        <v>0</v>
      </c>
    </row>
    <row r="1099" spans="1:12" ht="30" customHeight="1">
      <c r="A1099" s="241" t="s">
        <v>127</v>
      </c>
      <c r="B1099" s="329">
        <v>1312</v>
      </c>
      <c r="C1099" s="243" t="s">
        <v>508</v>
      </c>
      <c r="D1099" s="188">
        <v>6112</v>
      </c>
      <c r="E1099" s="192" t="s">
        <v>236</v>
      </c>
      <c r="F1099" s="226"/>
      <c r="G1099" s="294"/>
      <c r="H1099" s="294"/>
      <c r="I1099" s="294"/>
      <c r="J1099" s="315"/>
      <c r="K1099" s="614">
        <f t="shared" si="34"/>
        <v>0</v>
      </c>
      <c r="L1099" s="614">
        <f t="shared" si="35"/>
        <v>0</v>
      </c>
    </row>
    <row r="1100" spans="1:12" ht="30" customHeight="1">
      <c r="A1100" s="241" t="s">
        <v>127</v>
      </c>
      <c r="B1100" s="329">
        <v>1312</v>
      </c>
      <c r="C1100" s="243" t="s">
        <v>508</v>
      </c>
      <c r="D1100" s="188">
        <v>6171</v>
      </c>
      <c r="E1100" s="192" t="s">
        <v>214</v>
      </c>
      <c r="F1100" s="226"/>
      <c r="G1100" s="294"/>
      <c r="H1100" s="294"/>
      <c r="I1100" s="294"/>
      <c r="J1100" s="315"/>
      <c r="K1100" s="614">
        <f t="shared" si="34"/>
        <v>0</v>
      </c>
      <c r="L1100" s="614">
        <f t="shared" si="35"/>
        <v>0</v>
      </c>
    </row>
    <row r="1101" spans="1:12" ht="30" customHeight="1">
      <c r="A1101" s="241" t="s">
        <v>127</v>
      </c>
      <c r="B1101" s="329">
        <v>1312</v>
      </c>
      <c r="C1101" s="243" t="s">
        <v>508</v>
      </c>
      <c r="D1101" s="187">
        <v>6173</v>
      </c>
      <c r="E1101" s="258" t="s">
        <v>19</v>
      </c>
      <c r="F1101" s="253"/>
      <c r="G1101" s="294">
        <v>17000000</v>
      </c>
      <c r="H1101" s="292">
        <v>12750000</v>
      </c>
      <c r="I1101" s="294">
        <v>17000000</v>
      </c>
      <c r="J1101" s="315"/>
      <c r="K1101" s="614">
        <f aca="true" t="shared" si="36" ref="K1101:K1164">I1101+J1101</f>
        <v>17000000</v>
      </c>
      <c r="L1101" s="614">
        <f t="shared" si="35"/>
        <v>4250000</v>
      </c>
    </row>
    <row r="1102" spans="1:12" ht="30" customHeight="1">
      <c r="A1102" s="241" t="s">
        <v>127</v>
      </c>
      <c r="B1102" s="329">
        <v>1312</v>
      </c>
      <c r="C1102" s="243" t="s">
        <v>508</v>
      </c>
      <c r="D1102" s="187">
        <v>6175</v>
      </c>
      <c r="E1102" s="258" t="s">
        <v>13</v>
      </c>
      <c r="F1102" s="226"/>
      <c r="G1102" s="294"/>
      <c r="H1102" s="294"/>
      <c r="I1102" s="294"/>
      <c r="J1102" s="315"/>
      <c r="K1102" s="614">
        <f t="shared" si="36"/>
        <v>0</v>
      </c>
      <c r="L1102" s="614">
        <f t="shared" si="35"/>
        <v>0</v>
      </c>
    </row>
    <row r="1103" spans="1:12" ht="30" customHeight="1">
      <c r="A1103" s="241" t="s">
        <v>127</v>
      </c>
      <c r="B1103" s="329">
        <v>1312</v>
      </c>
      <c r="C1103" s="243" t="s">
        <v>508</v>
      </c>
      <c r="D1103" s="188">
        <v>6021</v>
      </c>
      <c r="E1103" s="192" t="s">
        <v>68</v>
      </c>
      <c r="F1103" s="226"/>
      <c r="G1103" s="294"/>
      <c r="H1103" s="294"/>
      <c r="I1103" s="294"/>
      <c r="J1103" s="315"/>
      <c r="K1103" s="614">
        <f t="shared" si="36"/>
        <v>0</v>
      </c>
      <c r="L1103" s="614">
        <f t="shared" si="35"/>
        <v>0</v>
      </c>
    </row>
    <row r="1104" spans="1:12" ht="30" customHeight="1">
      <c r="A1104" s="241" t="s">
        <v>127</v>
      </c>
      <c r="B1104" s="329">
        <v>1312</v>
      </c>
      <c r="C1104" s="243" t="s">
        <v>508</v>
      </c>
      <c r="D1104" s="187">
        <v>6433</v>
      </c>
      <c r="E1104" s="258" t="s">
        <v>42</v>
      </c>
      <c r="F1104" s="253"/>
      <c r="G1104" s="294"/>
      <c r="H1104" s="294"/>
      <c r="I1104" s="294"/>
      <c r="J1104" s="315"/>
      <c r="K1104" s="614">
        <f t="shared" si="36"/>
        <v>0</v>
      </c>
      <c r="L1104" s="614">
        <f t="shared" si="35"/>
        <v>0</v>
      </c>
    </row>
    <row r="1105" spans="1:12" ht="30" customHeight="1">
      <c r="A1105" s="241" t="s">
        <v>127</v>
      </c>
      <c r="B1105" s="329">
        <v>1312</v>
      </c>
      <c r="C1105" s="243" t="s">
        <v>508</v>
      </c>
      <c r="D1105" s="187">
        <v>2121</v>
      </c>
      <c r="E1105" s="258" t="s">
        <v>590</v>
      </c>
      <c r="F1105" s="253"/>
      <c r="G1105" s="294"/>
      <c r="H1105" s="294"/>
      <c r="I1105" s="294"/>
      <c r="J1105" s="315"/>
      <c r="K1105" s="614">
        <f t="shared" si="36"/>
        <v>0</v>
      </c>
      <c r="L1105" s="614">
        <f t="shared" si="35"/>
        <v>0</v>
      </c>
    </row>
    <row r="1106" spans="1:12" ht="30" customHeight="1">
      <c r="A1106" s="241" t="s">
        <v>127</v>
      </c>
      <c r="B1106" s="329">
        <v>1312</v>
      </c>
      <c r="C1106" s="243" t="s">
        <v>508</v>
      </c>
      <c r="D1106" s="187">
        <v>2128</v>
      </c>
      <c r="E1106" s="258" t="s">
        <v>600</v>
      </c>
      <c r="F1106" s="253"/>
      <c r="G1106" s="294">
        <v>500000000</v>
      </c>
      <c r="H1106" s="338"/>
      <c r="I1106" s="294">
        <f>500000000-267000000</f>
        <v>233000000</v>
      </c>
      <c r="J1106" s="315">
        <v>-233000000</v>
      </c>
      <c r="K1106" s="614">
        <f t="shared" si="36"/>
        <v>0</v>
      </c>
      <c r="L1106" s="614">
        <f t="shared" si="35"/>
        <v>0</v>
      </c>
    </row>
    <row r="1107" spans="1:12" ht="30" customHeight="1">
      <c r="A1107" s="241" t="s">
        <v>127</v>
      </c>
      <c r="B1107" s="329">
        <v>1312</v>
      </c>
      <c r="C1107" s="243" t="s">
        <v>508</v>
      </c>
      <c r="D1107" s="187">
        <v>2161</v>
      </c>
      <c r="E1107" s="258" t="s">
        <v>628</v>
      </c>
      <c r="F1107" s="253"/>
      <c r="G1107" s="294">
        <v>1233000000</v>
      </c>
      <c r="H1107" s="294"/>
      <c r="I1107" s="294"/>
      <c r="J1107" s="315"/>
      <c r="K1107" s="614">
        <f t="shared" si="36"/>
        <v>0</v>
      </c>
      <c r="L1107" s="614">
        <f t="shared" si="35"/>
        <v>0</v>
      </c>
    </row>
    <row r="1108" spans="1:12" ht="30" customHeight="1">
      <c r="A1108" s="241" t="s">
        <v>127</v>
      </c>
      <c r="B1108" s="329">
        <v>1312</v>
      </c>
      <c r="C1108" s="243"/>
      <c r="D1108" s="187">
        <v>2182</v>
      </c>
      <c r="E1108" s="258" t="s">
        <v>43</v>
      </c>
      <c r="F1108" s="253"/>
      <c r="G1108" s="294"/>
      <c r="H1108" s="338"/>
      <c r="I1108" s="294"/>
      <c r="J1108" s="315"/>
      <c r="K1108" s="614">
        <f t="shared" si="36"/>
        <v>0</v>
      </c>
      <c r="L1108" s="614">
        <f t="shared" si="35"/>
        <v>0</v>
      </c>
    </row>
    <row r="1109" spans="1:12" ht="30" customHeight="1">
      <c r="A1109" s="241" t="s">
        <v>127</v>
      </c>
      <c r="B1109" s="329">
        <v>1312</v>
      </c>
      <c r="C1109" s="243" t="s">
        <v>508</v>
      </c>
      <c r="D1109" s="257" t="s">
        <v>20</v>
      </c>
      <c r="E1109" s="270"/>
      <c r="F1109" s="267"/>
      <c r="G1109" s="98">
        <f>SUBTOTAL(109,G1092:G1108)</f>
        <v>1752000000</v>
      </c>
      <c r="H1109" s="98">
        <f>SUBTOTAL(109,H1092:H1103)</f>
        <v>14250000</v>
      </c>
      <c r="I1109" s="98">
        <f>SUBTOTAL(109,I1092:I1108)</f>
        <v>252000000</v>
      </c>
      <c r="J1109" s="581">
        <f>SUBTOTAL(109,J1092:J1108)</f>
        <v>-233000000</v>
      </c>
      <c r="K1109" s="614">
        <f t="shared" si="36"/>
        <v>19000000</v>
      </c>
      <c r="L1109" s="614">
        <f t="shared" si="35"/>
        <v>4750000</v>
      </c>
    </row>
    <row r="1110" spans="1:12" ht="30" customHeight="1">
      <c r="A1110" s="241" t="s">
        <v>127</v>
      </c>
      <c r="B1110" s="329">
        <v>1313</v>
      </c>
      <c r="C1110" s="243" t="s">
        <v>506</v>
      </c>
      <c r="D1110" s="254" t="s">
        <v>160</v>
      </c>
      <c r="E1110" s="311"/>
      <c r="F1110" s="272"/>
      <c r="G1110" s="242"/>
      <c r="H1110" s="242"/>
      <c r="I1110" s="242"/>
      <c r="J1110" s="315"/>
      <c r="K1110" s="614">
        <f t="shared" si="36"/>
        <v>0</v>
      </c>
      <c r="L1110" s="614">
        <f t="shared" si="35"/>
        <v>0</v>
      </c>
    </row>
    <row r="1111" spans="1:12" ht="30" customHeight="1">
      <c r="A1111" s="241" t="s">
        <v>127</v>
      </c>
      <c r="B1111" s="329">
        <v>1313</v>
      </c>
      <c r="C1111" s="243" t="s">
        <v>506</v>
      </c>
      <c r="D1111" s="188">
        <v>60100</v>
      </c>
      <c r="E1111" s="192" t="s">
        <v>7</v>
      </c>
      <c r="F1111" s="226"/>
      <c r="G1111" s="294">
        <v>800000</v>
      </c>
      <c r="H1111" s="294"/>
      <c r="I1111" s="294">
        <v>800000</v>
      </c>
      <c r="J1111" s="315"/>
      <c r="K1111" s="614">
        <f t="shared" si="36"/>
        <v>800000</v>
      </c>
      <c r="L1111" s="614">
        <f t="shared" si="35"/>
        <v>800000</v>
      </c>
    </row>
    <row r="1112" spans="1:12" ht="30" customHeight="1">
      <c r="A1112" s="241" t="s">
        <v>127</v>
      </c>
      <c r="B1112" s="329">
        <v>1313</v>
      </c>
      <c r="C1112" s="243" t="s">
        <v>506</v>
      </c>
      <c r="D1112" s="188">
        <v>6122</v>
      </c>
      <c r="E1112" s="235" t="s">
        <v>582</v>
      </c>
      <c r="F1112" s="253"/>
      <c r="G1112" s="294">
        <v>600000</v>
      </c>
      <c r="H1112" s="294"/>
      <c r="I1112" s="294">
        <v>600000</v>
      </c>
      <c r="J1112" s="315"/>
      <c r="K1112" s="614">
        <f t="shared" si="36"/>
        <v>600000</v>
      </c>
      <c r="L1112" s="614">
        <f t="shared" si="35"/>
        <v>600000</v>
      </c>
    </row>
    <row r="1113" spans="1:12" ht="30" customHeight="1">
      <c r="A1113" s="241" t="s">
        <v>127</v>
      </c>
      <c r="B1113" s="329">
        <v>1313</v>
      </c>
      <c r="C1113" s="243" t="s">
        <v>506</v>
      </c>
      <c r="D1113" s="188">
        <v>61321</v>
      </c>
      <c r="E1113" s="235" t="s">
        <v>629</v>
      </c>
      <c r="F1113" s="253"/>
      <c r="G1113" s="294">
        <v>666959880</v>
      </c>
      <c r="H1113" s="294">
        <f>392028803+406386177</f>
        <v>798414980</v>
      </c>
      <c r="I1113" s="294">
        <v>666959880</v>
      </c>
      <c r="J1113" s="315"/>
      <c r="K1113" s="614">
        <f t="shared" si="36"/>
        <v>666959880</v>
      </c>
      <c r="L1113" s="614">
        <f t="shared" si="35"/>
        <v>-131455100</v>
      </c>
    </row>
    <row r="1114" spans="1:12" ht="30" customHeight="1">
      <c r="A1114" s="241" t="s">
        <v>127</v>
      </c>
      <c r="B1114" s="329">
        <v>1313</v>
      </c>
      <c r="C1114" s="243" t="s">
        <v>506</v>
      </c>
      <c r="D1114" s="188">
        <v>61322</v>
      </c>
      <c r="E1114" s="235" t="s">
        <v>643</v>
      </c>
      <c r="F1114" s="253"/>
      <c r="G1114" s="294">
        <v>688648300</v>
      </c>
      <c r="H1114" s="622">
        <f>19211341+32912642</f>
        <v>52123983</v>
      </c>
      <c r="I1114" s="294">
        <f>618354300+70294000</f>
        <v>688648300</v>
      </c>
      <c r="J1114" s="315"/>
      <c r="K1114" s="614">
        <f t="shared" si="36"/>
        <v>688648300</v>
      </c>
      <c r="L1114" s="614">
        <f t="shared" si="35"/>
        <v>636524317</v>
      </c>
    </row>
    <row r="1115" spans="1:12" ht="30" customHeight="1">
      <c r="A1115" s="241" t="s">
        <v>127</v>
      </c>
      <c r="B1115" s="329">
        <v>1313</v>
      </c>
      <c r="C1115" s="243" t="s">
        <v>506</v>
      </c>
      <c r="D1115" s="187">
        <v>6174</v>
      </c>
      <c r="E1115" s="194" t="s">
        <v>40</v>
      </c>
      <c r="F1115" s="253"/>
      <c r="G1115" s="294">
        <v>600000</v>
      </c>
      <c r="H1115" s="294"/>
      <c r="I1115" s="294">
        <v>600000</v>
      </c>
      <c r="J1115" s="315"/>
      <c r="K1115" s="614">
        <f t="shared" si="36"/>
        <v>600000</v>
      </c>
      <c r="L1115" s="614">
        <f t="shared" si="35"/>
        <v>600000</v>
      </c>
    </row>
    <row r="1116" spans="1:12" ht="30" customHeight="1">
      <c r="A1116" s="241" t="s">
        <v>127</v>
      </c>
      <c r="B1116" s="329">
        <v>1313</v>
      </c>
      <c r="C1116" s="243" t="s">
        <v>506</v>
      </c>
      <c r="D1116" s="257" t="s">
        <v>20</v>
      </c>
      <c r="E1116" s="270"/>
      <c r="F1116" s="267"/>
      <c r="G1116" s="98">
        <f>SUBTOTAL(109,G1111:G1115)</f>
        <v>1357608180</v>
      </c>
      <c r="H1116" s="98">
        <f>SUBTOTAL(109,H1111:H1115)</f>
        <v>850538963</v>
      </c>
      <c r="I1116" s="98">
        <f>SUBTOTAL(109,I1111:I1115)</f>
        <v>1357608180</v>
      </c>
      <c r="J1116" s="581">
        <f>SUBTOTAL(109,J1111:J1115)</f>
        <v>0</v>
      </c>
      <c r="K1116" s="614">
        <f t="shared" si="36"/>
        <v>1357608180</v>
      </c>
      <c r="L1116" s="614">
        <f t="shared" si="35"/>
        <v>507069217</v>
      </c>
    </row>
    <row r="1117" spans="1:12" ht="30" customHeight="1">
      <c r="A1117" s="241" t="s">
        <v>127</v>
      </c>
      <c r="B1117" s="329">
        <v>1315</v>
      </c>
      <c r="C1117" s="243" t="s">
        <v>506</v>
      </c>
      <c r="D1117" s="255" t="s">
        <v>161</v>
      </c>
      <c r="E1117" s="312"/>
      <c r="F1117" s="227"/>
      <c r="G1117" s="242"/>
      <c r="H1117" s="242"/>
      <c r="I1117" s="242"/>
      <c r="J1117" s="315"/>
      <c r="K1117" s="614">
        <f t="shared" si="36"/>
        <v>0</v>
      </c>
      <c r="L1117" s="614">
        <f t="shared" si="35"/>
        <v>0</v>
      </c>
    </row>
    <row r="1118" spans="1:12" ht="30" customHeight="1">
      <c r="A1118" s="241" t="s">
        <v>127</v>
      </c>
      <c r="B1118" s="329">
        <v>1315</v>
      </c>
      <c r="C1118" s="243" t="s">
        <v>506</v>
      </c>
      <c r="D1118" s="188">
        <v>60100</v>
      </c>
      <c r="E1118" s="192" t="s">
        <v>7</v>
      </c>
      <c r="F1118" s="226"/>
      <c r="G1118" s="294">
        <v>600000</v>
      </c>
      <c r="H1118" s="294"/>
      <c r="I1118" s="294">
        <v>600000</v>
      </c>
      <c r="J1118" s="315"/>
      <c r="K1118" s="614">
        <f t="shared" si="36"/>
        <v>600000</v>
      </c>
      <c r="L1118" s="614">
        <f t="shared" si="35"/>
        <v>600000</v>
      </c>
    </row>
    <row r="1119" spans="1:12" ht="30" customHeight="1">
      <c r="A1119" s="241" t="s">
        <v>127</v>
      </c>
      <c r="B1119" s="329">
        <v>1315</v>
      </c>
      <c r="C1119" s="243" t="s">
        <v>506</v>
      </c>
      <c r="D1119" s="188">
        <v>6122</v>
      </c>
      <c r="E1119" s="235" t="s">
        <v>582</v>
      </c>
      <c r="F1119" s="253"/>
      <c r="G1119" s="294">
        <v>500000</v>
      </c>
      <c r="H1119" s="294"/>
      <c r="I1119" s="294">
        <v>500000</v>
      </c>
      <c r="J1119" s="315"/>
      <c r="K1119" s="614">
        <f t="shared" si="36"/>
        <v>500000</v>
      </c>
      <c r="L1119" s="614">
        <f t="shared" si="35"/>
        <v>500000</v>
      </c>
    </row>
    <row r="1120" spans="1:12" ht="30" customHeight="1">
      <c r="A1120" s="241" t="s">
        <v>127</v>
      </c>
      <c r="B1120" s="329">
        <v>1315</v>
      </c>
      <c r="C1120" s="243" t="s">
        <v>506</v>
      </c>
      <c r="D1120" s="257" t="s">
        <v>20</v>
      </c>
      <c r="E1120" s="270"/>
      <c r="F1120" s="267"/>
      <c r="G1120" s="98">
        <f>SUBTOTAL(109,G1118:G1119)</f>
        <v>1100000</v>
      </c>
      <c r="H1120" s="98">
        <f>SUBTOTAL(109,H1118:H1119)</f>
        <v>0</v>
      </c>
      <c r="I1120" s="98">
        <f>SUBTOTAL(109,I1118:I1119)</f>
        <v>1100000</v>
      </c>
      <c r="J1120" s="581">
        <f>SUBTOTAL(109,J1118:J1119)</f>
        <v>0</v>
      </c>
      <c r="K1120" s="614">
        <f t="shared" si="36"/>
        <v>1100000</v>
      </c>
      <c r="L1120" s="614">
        <f t="shared" si="35"/>
        <v>1100000</v>
      </c>
    </row>
    <row r="1121" spans="1:12" ht="30" customHeight="1">
      <c r="A1121" s="241" t="s">
        <v>127</v>
      </c>
      <c r="B1121" s="329">
        <v>1317</v>
      </c>
      <c r="C1121" s="243" t="s">
        <v>507</v>
      </c>
      <c r="D1121" s="255" t="s">
        <v>331</v>
      </c>
      <c r="E1121" s="270"/>
      <c r="F1121" s="267"/>
      <c r="G1121" s="98"/>
      <c r="H1121" s="267"/>
      <c r="I1121" s="98"/>
      <c r="J1121" s="315"/>
      <c r="K1121" s="614">
        <f t="shared" si="36"/>
        <v>0</v>
      </c>
      <c r="L1121" s="614">
        <f t="shared" si="35"/>
        <v>0</v>
      </c>
    </row>
    <row r="1122" spans="1:12" ht="30" customHeight="1">
      <c r="A1122" s="241" t="s">
        <v>127</v>
      </c>
      <c r="B1122" s="329">
        <v>1317</v>
      </c>
      <c r="C1122" s="243" t="s">
        <v>507</v>
      </c>
      <c r="D1122" s="188">
        <v>6173</v>
      </c>
      <c r="E1122" s="258" t="s">
        <v>19</v>
      </c>
      <c r="F1122" s="226"/>
      <c r="G1122" s="294">
        <v>15000000</v>
      </c>
      <c r="H1122" s="294">
        <v>15000000</v>
      </c>
      <c r="I1122" s="294">
        <f>15000000</f>
        <v>15000000</v>
      </c>
      <c r="J1122" s="315"/>
      <c r="K1122" s="614">
        <f t="shared" si="36"/>
        <v>15000000</v>
      </c>
      <c r="L1122" s="614">
        <f t="shared" si="35"/>
        <v>0</v>
      </c>
    </row>
    <row r="1123" spans="1:12" ht="30" customHeight="1">
      <c r="A1123" s="241" t="s">
        <v>127</v>
      </c>
      <c r="B1123" s="329">
        <v>1317</v>
      </c>
      <c r="C1123" s="243" t="s">
        <v>507</v>
      </c>
      <c r="D1123" s="257" t="s">
        <v>20</v>
      </c>
      <c r="E1123" s="270"/>
      <c r="F1123" s="267"/>
      <c r="G1123" s="98">
        <f>SUBTOTAL(109,G1122:G1122)</f>
        <v>15000000</v>
      </c>
      <c r="H1123" s="98">
        <f>SUBTOTAL(109,H1122:H1122)</f>
        <v>15000000</v>
      </c>
      <c r="I1123" s="98">
        <f>SUBTOTAL(109,I1122:I1122)</f>
        <v>15000000</v>
      </c>
      <c r="J1123" s="581">
        <f>SUBTOTAL(109,J1122:J1122)</f>
        <v>0</v>
      </c>
      <c r="K1123" s="614">
        <f t="shared" si="36"/>
        <v>15000000</v>
      </c>
      <c r="L1123" s="614">
        <f t="shared" si="35"/>
        <v>0</v>
      </c>
    </row>
    <row r="1124" spans="1:12" ht="30" customHeight="1">
      <c r="A1124" s="241" t="s">
        <v>127</v>
      </c>
      <c r="B1124" s="329">
        <v>1318</v>
      </c>
      <c r="C1124" s="243" t="s">
        <v>506</v>
      </c>
      <c r="D1124" s="255" t="s">
        <v>223</v>
      </c>
      <c r="E1124" s="270"/>
      <c r="F1124" s="267"/>
      <c r="G1124" s="98"/>
      <c r="H1124" s="98"/>
      <c r="I1124" s="98"/>
      <c r="J1124" s="315"/>
      <c r="K1124" s="614">
        <f t="shared" si="36"/>
        <v>0</v>
      </c>
      <c r="L1124" s="614">
        <f t="shared" si="35"/>
        <v>0</v>
      </c>
    </row>
    <row r="1125" spans="1:12" ht="30" customHeight="1">
      <c r="A1125" s="241" t="s">
        <v>127</v>
      </c>
      <c r="B1125" s="329">
        <v>1318</v>
      </c>
      <c r="C1125" s="243" t="s">
        <v>506</v>
      </c>
      <c r="D1125" s="188">
        <v>6173</v>
      </c>
      <c r="E1125" s="270" t="s">
        <v>224</v>
      </c>
      <c r="F1125" s="267"/>
      <c r="G1125" s="294">
        <v>35166121</v>
      </c>
      <c r="H1125" s="242"/>
      <c r="I1125" s="294">
        <f>35166121</f>
        <v>35166121</v>
      </c>
      <c r="J1125" s="315"/>
      <c r="K1125" s="614">
        <f t="shared" si="36"/>
        <v>35166121</v>
      </c>
      <c r="L1125" s="614">
        <f t="shared" si="35"/>
        <v>35166121</v>
      </c>
    </row>
    <row r="1126" spans="1:12" ht="30" customHeight="1">
      <c r="A1126" s="241" t="s">
        <v>127</v>
      </c>
      <c r="B1126" s="329">
        <v>1318</v>
      </c>
      <c r="C1126" s="243" t="s">
        <v>506</v>
      </c>
      <c r="D1126" s="257" t="s">
        <v>20</v>
      </c>
      <c r="E1126" s="270"/>
      <c r="F1126" s="267"/>
      <c r="G1126" s="98">
        <f>SUBTOTAL(109,G1125:G1125)</f>
        <v>35166121</v>
      </c>
      <c r="H1126" s="98">
        <f>SUBTOTAL(109,H1125:H1125)</f>
        <v>0</v>
      </c>
      <c r="I1126" s="98">
        <f>SUBTOTAL(109,I1125:I1125)</f>
        <v>35166121</v>
      </c>
      <c r="J1126" s="581">
        <f>SUBTOTAL(109,J1125:J1125)</f>
        <v>0</v>
      </c>
      <c r="K1126" s="614">
        <f t="shared" si="36"/>
        <v>35166121</v>
      </c>
      <c r="L1126" s="614">
        <f t="shared" si="35"/>
        <v>35166121</v>
      </c>
    </row>
    <row r="1127" spans="1:12" ht="30" customHeight="1">
      <c r="A1127" s="241" t="s">
        <v>127</v>
      </c>
      <c r="B1127" s="329">
        <v>1319</v>
      </c>
      <c r="C1127" s="243" t="s">
        <v>478</v>
      </c>
      <c r="D1127" s="255" t="s">
        <v>313</v>
      </c>
      <c r="E1127" s="270"/>
      <c r="F1127" s="267"/>
      <c r="G1127" s="98"/>
      <c r="H1127" s="267"/>
      <c r="I1127" s="267"/>
      <c r="J1127" s="315"/>
      <c r="K1127" s="614">
        <f t="shared" si="36"/>
        <v>0</v>
      </c>
      <c r="L1127" s="614">
        <f t="shared" si="35"/>
        <v>0</v>
      </c>
    </row>
    <row r="1128" spans="1:12" ht="30" customHeight="1">
      <c r="A1128" s="241" t="s">
        <v>127</v>
      </c>
      <c r="B1128" s="329">
        <v>1319</v>
      </c>
      <c r="C1128" s="243" t="s">
        <v>478</v>
      </c>
      <c r="D1128" s="188">
        <v>6611</v>
      </c>
      <c r="E1128" s="270" t="s">
        <v>6</v>
      </c>
      <c r="F1128" s="267"/>
      <c r="G1128" s="98"/>
      <c r="H1128" s="267"/>
      <c r="I1128" s="267"/>
      <c r="J1128" s="315"/>
      <c r="K1128" s="614">
        <f t="shared" si="36"/>
        <v>0</v>
      </c>
      <c r="L1128" s="614">
        <f t="shared" si="35"/>
        <v>0</v>
      </c>
    </row>
    <row r="1129" spans="1:12" ht="30" customHeight="1">
      <c r="A1129" s="241" t="s">
        <v>127</v>
      </c>
      <c r="B1129" s="329">
        <v>1319</v>
      </c>
      <c r="C1129" s="243" t="s">
        <v>478</v>
      </c>
      <c r="D1129" s="188">
        <v>6173</v>
      </c>
      <c r="E1129" s="270" t="s">
        <v>224</v>
      </c>
      <c r="F1129" s="267"/>
      <c r="G1129" s="242">
        <f>3000000+2000000</f>
        <v>5000000</v>
      </c>
      <c r="H1129" s="242">
        <v>2500000</v>
      </c>
      <c r="I1129" s="242">
        <f>3000000+2000000</f>
        <v>5000000</v>
      </c>
      <c r="J1129" s="315"/>
      <c r="K1129" s="614">
        <f t="shared" si="36"/>
        <v>5000000</v>
      </c>
      <c r="L1129" s="614">
        <f t="shared" si="35"/>
        <v>2500000</v>
      </c>
    </row>
    <row r="1130" spans="1:12" ht="30" customHeight="1">
      <c r="A1130" s="241" t="s">
        <v>127</v>
      </c>
      <c r="B1130" s="329">
        <v>1319</v>
      </c>
      <c r="C1130" s="243" t="s">
        <v>478</v>
      </c>
      <c r="D1130" s="257" t="s">
        <v>20</v>
      </c>
      <c r="E1130" s="270"/>
      <c r="F1130" s="98">
        <f>SUBTOTAL(109,F1128:F1129)</f>
        <v>0</v>
      </c>
      <c r="G1130" s="98">
        <f>SUBTOTAL(109,G1128:G1129)</f>
        <v>5000000</v>
      </c>
      <c r="H1130" s="98">
        <f>SUBTOTAL(109,H1128:H1129)</f>
        <v>2500000</v>
      </c>
      <c r="I1130" s="98">
        <f>SUBTOTAL(109,I1128:I1129)</f>
        <v>5000000</v>
      </c>
      <c r="J1130" s="581">
        <f>SUBTOTAL(109,J1128:J1129)</f>
        <v>0</v>
      </c>
      <c r="K1130" s="614">
        <f t="shared" si="36"/>
        <v>5000000</v>
      </c>
      <c r="L1130" s="614">
        <f t="shared" si="35"/>
        <v>2500000</v>
      </c>
    </row>
    <row r="1131" spans="1:12" ht="30" customHeight="1">
      <c r="A1131" s="241" t="s">
        <v>127</v>
      </c>
      <c r="B1131" s="241" t="s">
        <v>72</v>
      </c>
      <c r="C1131" s="243"/>
      <c r="D1131" s="188"/>
      <c r="E1131" s="270"/>
      <c r="F1131" s="98">
        <f>F1123+F1120+F1126+F1116+F1109+F1089+F1084+F1079+F1071+F1063+F1055+F1052+F1047+F1044+F1033+F1130+F1040</f>
        <v>454</v>
      </c>
      <c r="G1131" s="98">
        <f>G1123+G1120+G1126+G1116+G1109+G1089+G1084+G1079+G1071+G1063+G1055+G1052+G1047+G1044+G1033+G1130+G1040</f>
        <v>5401210168</v>
      </c>
      <c r="H1131" s="98">
        <f>H1123+H1120+H1126+H1116+H1109+H1089+H1084+H1079+H1071+H1063+H1055+H1052+H1047+H1044+H1033+H1130+H1040</f>
        <v>2683395156.2299995</v>
      </c>
      <c r="I1131" s="98">
        <f>I1123+I1120+I1126+I1116+I1109+I1089+I1084+I1079+I1071+I1063+I1055+I1052+I1047+I1044+I1033+I1130+I1040</f>
        <v>3901210168</v>
      </c>
      <c r="J1131" s="581">
        <f>J1123+J1120+J1126+J1116+J1109+J1089+J1084+J1079+J1071+J1063+J1055+J1052+J1047+J1044+J1033+J1130+J1040</f>
        <v>-233000000</v>
      </c>
      <c r="K1131" s="614">
        <f t="shared" si="36"/>
        <v>3668210168</v>
      </c>
      <c r="L1131" s="614">
        <f t="shared" si="35"/>
        <v>984815011.7700005</v>
      </c>
    </row>
    <row r="1132" spans="1:12" ht="30" customHeight="1">
      <c r="A1132" s="241" t="s">
        <v>130</v>
      </c>
      <c r="B1132" s="241" t="s">
        <v>631</v>
      </c>
      <c r="C1132" s="243"/>
      <c r="D1132" s="257"/>
      <c r="E1132" s="313"/>
      <c r="F1132" s="313"/>
      <c r="G1132" s="314"/>
      <c r="H1132" s="315"/>
      <c r="I1132" s="315"/>
      <c r="J1132" s="315"/>
      <c r="K1132" s="614">
        <f t="shared" si="36"/>
        <v>0</v>
      </c>
      <c r="L1132" s="614">
        <f t="shared" si="35"/>
        <v>0</v>
      </c>
    </row>
    <row r="1133" spans="1:12" ht="30" customHeight="1">
      <c r="A1133" s="241" t="s">
        <v>130</v>
      </c>
      <c r="B1133" s="329">
        <v>1401</v>
      </c>
      <c r="C1133" s="243" t="s">
        <v>362</v>
      </c>
      <c r="D1133" s="255" t="s">
        <v>547</v>
      </c>
      <c r="E1133" s="267"/>
      <c r="F1133" s="267"/>
      <c r="G1133" s="242"/>
      <c r="H1133" s="242"/>
      <c r="I1133" s="242"/>
      <c r="J1133" s="315"/>
      <c r="K1133" s="614">
        <f t="shared" si="36"/>
        <v>0</v>
      </c>
      <c r="L1133" s="614">
        <f t="shared" si="35"/>
        <v>0</v>
      </c>
    </row>
    <row r="1134" spans="1:12" ht="30" customHeight="1">
      <c r="A1134" s="241" t="s">
        <v>130</v>
      </c>
      <c r="B1134" s="329">
        <v>1401</v>
      </c>
      <c r="C1134" s="243" t="s">
        <v>362</v>
      </c>
      <c r="D1134" s="188">
        <v>6611</v>
      </c>
      <c r="E1134" s="192" t="s">
        <v>6</v>
      </c>
      <c r="F1134" s="226">
        <f>7+1</f>
        <v>8</v>
      </c>
      <c r="G1134" s="315">
        <v>16302000</v>
      </c>
      <c r="H1134" s="315">
        <v>35247165.800000004</v>
      </c>
      <c r="I1134" s="315">
        <f>28902000-12600000</f>
        <v>16302000</v>
      </c>
      <c r="J1134" s="315"/>
      <c r="K1134" s="614">
        <f t="shared" si="36"/>
        <v>16302000</v>
      </c>
      <c r="L1134" s="614">
        <f t="shared" si="35"/>
        <v>-18945165.800000004</v>
      </c>
    </row>
    <row r="1135" spans="1:12" ht="30" customHeight="1">
      <c r="A1135" s="241" t="s">
        <v>130</v>
      </c>
      <c r="B1135" s="329">
        <v>1401</v>
      </c>
      <c r="C1135" s="243" t="s">
        <v>362</v>
      </c>
      <c r="D1135" s="188">
        <v>60100</v>
      </c>
      <c r="E1135" s="192" t="s">
        <v>7</v>
      </c>
      <c r="F1135" s="226"/>
      <c r="G1135" s="315">
        <v>800600</v>
      </c>
      <c r="H1135" s="315">
        <v>445500</v>
      </c>
      <c r="I1135" s="315">
        <f>800600</f>
        <v>800600</v>
      </c>
      <c r="J1135" s="315"/>
      <c r="K1135" s="614">
        <f t="shared" si="36"/>
        <v>800600</v>
      </c>
      <c r="L1135" s="614">
        <f t="shared" si="35"/>
        <v>355100</v>
      </c>
    </row>
    <row r="1136" spans="1:12" ht="30" customHeight="1">
      <c r="A1136" s="241" t="s">
        <v>130</v>
      </c>
      <c r="B1136" s="329">
        <v>1401</v>
      </c>
      <c r="C1136" s="243" t="s">
        <v>362</v>
      </c>
      <c r="D1136" s="188">
        <v>60101</v>
      </c>
      <c r="E1136" s="192" t="s">
        <v>288</v>
      </c>
      <c r="F1136" s="226"/>
      <c r="G1136" s="315"/>
      <c r="H1136" s="357"/>
      <c r="I1136" s="357"/>
      <c r="J1136" s="315"/>
      <c r="K1136" s="614">
        <f t="shared" si="36"/>
        <v>0</v>
      </c>
      <c r="L1136" s="614">
        <f t="shared" si="35"/>
        <v>0</v>
      </c>
    </row>
    <row r="1137" spans="1:12" ht="30" customHeight="1">
      <c r="A1137" s="241" t="s">
        <v>130</v>
      </c>
      <c r="B1137" s="329">
        <v>1401</v>
      </c>
      <c r="C1137" s="243" t="s">
        <v>362</v>
      </c>
      <c r="D1137" s="188">
        <v>6122</v>
      </c>
      <c r="E1137" s="235" t="s">
        <v>582</v>
      </c>
      <c r="F1137" s="253"/>
      <c r="G1137" s="315">
        <v>600000</v>
      </c>
      <c r="H1137" s="315"/>
      <c r="I1137" s="315">
        <f>600000</f>
        <v>600000</v>
      </c>
      <c r="J1137" s="315"/>
      <c r="K1137" s="614">
        <f t="shared" si="36"/>
        <v>600000</v>
      </c>
      <c r="L1137" s="614">
        <f t="shared" si="35"/>
        <v>600000</v>
      </c>
    </row>
    <row r="1138" spans="1:12" ht="30" customHeight="1">
      <c r="A1138" s="241" t="s">
        <v>130</v>
      </c>
      <c r="B1138" s="329">
        <v>1401</v>
      </c>
      <c r="C1138" s="243" t="s">
        <v>362</v>
      </c>
      <c r="D1138" s="187">
        <v>6133</v>
      </c>
      <c r="E1138" s="194" t="s">
        <v>110</v>
      </c>
      <c r="F1138" s="253"/>
      <c r="G1138" s="315">
        <v>6875000</v>
      </c>
      <c r="H1138" s="315"/>
      <c r="I1138" s="315">
        <f>6875000</f>
        <v>6875000</v>
      </c>
      <c r="J1138" s="315"/>
      <c r="K1138" s="614">
        <f t="shared" si="36"/>
        <v>6875000</v>
      </c>
      <c r="L1138" s="614">
        <f t="shared" si="35"/>
        <v>6875000</v>
      </c>
    </row>
    <row r="1139" spans="1:12" ht="30" customHeight="1">
      <c r="A1139" s="241" t="s">
        <v>130</v>
      </c>
      <c r="B1139" s="329">
        <v>1401</v>
      </c>
      <c r="C1139" s="243" t="s">
        <v>362</v>
      </c>
      <c r="D1139" s="187">
        <v>6051</v>
      </c>
      <c r="E1139" s="194" t="s">
        <v>601</v>
      </c>
      <c r="F1139" s="253"/>
      <c r="G1139" s="315"/>
      <c r="H1139" s="357"/>
      <c r="I1139" s="315"/>
      <c r="J1139" s="315"/>
      <c r="K1139" s="614">
        <f t="shared" si="36"/>
        <v>0</v>
      </c>
      <c r="L1139" s="614">
        <f t="shared" si="35"/>
        <v>0</v>
      </c>
    </row>
    <row r="1140" spans="1:12" ht="30" customHeight="1">
      <c r="A1140" s="241" t="s">
        <v>130</v>
      </c>
      <c r="B1140" s="329">
        <v>1401</v>
      </c>
      <c r="C1140" s="243" t="s">
        <v>362</v>
      </c>
      <c r="D1140" s="187">
        <v>6052</v>
      </c>
      <c r="E1140" s="194" t="s">
        <v>598</v>
      </c>
      <c r="F1140" s="315"/>
      <c r="G1140" s="315">
        <v>330000</v>
      </c>
      <c r="H1140" s="315"/>
      <c r="I1140" s="315">
        <v>330000</v>
      </c>
      <c r="J1140" s="315"/>
      <c r="K1140" s="614">
        <f t="shared" si="36"/>
        <v>330000</v>
      </c>
      <c r="L1140" s="614">
        <f t="shared" si="35"/>
        <v>330000</v>
      </c>
    </row>
    <row r="1141" spans="1:12" ht="30" customHeight="1">
      <c r="A1141" s="241" t="s">
        <v>130</v>
      </c>
      <c r="B1141" s="329">
        <v>1401</v>
      </c>
      <c r="C1141" s="243" t="s">
        <v>362</v>
      </c>
      <c r="D1141" s="187">
        <v>6175</v>
      </c>
      <c r="E1141" s="194" t="s">
        <v>13</v>
      </c>
      <c r="F1141" s="253"/>
      <c r="G1141" s="315">
        <v>900000</v>
      </c>
      <c r="H1141" s="315">
        <v>545000</v>
      </c>
      <c r="I1141" s="315">
        <f>900000</f>
        <v>900000</v>
      </c>
      <c r="J1141" s="315"/>
      <c r="K1141" s="614">
        <f t="shared" si="36"/>
        <v>900000</v>
      </c>
      <c r="L1141" s="614">
        <f t="shared" si="35"/>
        <v>355000</v>
      </c>
    </row>
    <row r="1142" spans="1:12" ht="30" customHeight="1">
      <c r="A1142" s="241" t="s">
        <v>130</v>
      </c>
      <c r="B1142" s="329">
        <v>1401</v>
      </c>
      <c r="C1142" s="243" t="s">
        <v>362</v>
      </c>
      <c r="D1142" s="187">
        <v>2165</v>
      </c>
      <c r="E1142" s="194" t="s">
        <v>283</v>
      </c>
      <c r="F1142" s="253"/>
      <c r="G1142" s="315"/>
      <c r="H1142" s="315"/>
      <c r="I1142" s="315"/>
      <c r="J1142" s="315"/>
      <c r="K1142" s="614">
        <f t="shared" si="36"/>
        <v>0</v>
      </c>
      <c r="L1142" s="614">
        <f t="shared" si="35"/>
        <v>0</v>
      </c>
    </row>
    <row r="1143" spans="1:12" ht="30" customHeight="1">
      <c r="A1143" s="241" t="s">
        <v>130</v>
      </c>
      <c r="B1143" s="329">
        <v>1401</v>
      </c>
      <c r="C1143" s="243" t="s">
        <v>362</v>
      </c>
      <c r="D1143" s="257" t="s">
        <v>20</v>
      </c>
      <c r="E1143" s="267"/>
      <c r="F1143" s="98">
        <f>SUBTOTAL(109,F1134:F1141)</f>
        <v>8</v>
      </c>
      <c r="G1143" s="98">
        <f>SUBTOTAL(109,G1134:G1141)</f>
        <v>25807600</v>
      </c>
      <c r="H1143" s="98">
        <f>SUBTOTAL(109,H1134:H1141)</f>
        <v>36237665.800000004</v>
      </c>
      <c r="I1143" s="98">
        <f>SUBTOTAL(109,I1134:I1141)</f>
        <v>25807600</v>
      </c>
      <c r="J1143" s="581">
        <f>SUBTOTAL(109,J1134:J1141)</f>
        <v>0</v>
      </c>
      <c r="K1143" s="614">
        <f t="shared" si="36"/>
        <v>25807600</v>
      </c>
      <c r="L1143" s="614">
        <f t="shared" si="35"/>
        <v>-10430065.800000004</v>
      </c>
    </row>
    <row r="1144" spans="1:12" ht="30" customHeight="1">
      <c r="A1144" s="241" t="s">
        <v>130</v>
      </c>
      <c r="B1144" s="329">
        <v>1402</v>
      </c>
      <c r="C1144" s="243" t="s">
        <v>362</v>
      </c>
      <c r="D1144" s="254" t="s">
        <v>66</v>
      </c>
      <c r="E1144" s="226"/>
      <c r="F1144" s="226"/>
      <c r="G1144" s="98"/>
      <c r="H1144" s="267"/>
      <c r="I1144" s="267"/>
      <c r="J1144" s="315"/>
      <c r="K1144" s="614">
        <f t="shared" si="36"/>
        <v>0</v>
      </c>
      <c r="L1144" s="614">
        <f t="shared" si="35"/>
        <v>0</v>
      </c>
    </row>
    <row r="1145" spans="1:12" ht="30" customHeight="1">
      <c r="A1145" s="241" t="s">
        <v>130</v>
      </c>
      <c r="B1145" s="329">
        <v>1402</v>
      </c>
      <c r="C1145" s="243" t="s">
        <v>362</v>
      </c>
      <c r="D1145" s="188">
        <v>6611</v>
      </c>
      <c r="E1145" s="192" t="s">
        <v>6</v>
      </c>
      <c r="F1145" s="226">
        <f>3+1</f>
        <v>4</v>
      </c>
      <c r="G1145" s="315">
        <v>17716600</v>
      </c>
      <c r="H1145" s="315">
        <v>10716399.720000004</v>
      </c>
      <c r="I1145" s="315">
        <f>(17116600)+600000</f>
        <v>17716600</v>
      </c>
      <c r="J1145" s="315"/>
      <c r="K1145" s="614">
        <f t="shared" si="36"/>
        <v>17716600</v>
      </c>
      <c r="L1145" s="614">
        <f t="shared" si="35"/>
        <v>7000200.279999996</v>
      </c>
    </row>
    <row r="1146" spans="1:12" ht="30" customHeight="1">
      <c r="A1146" s="241" t="s">
        <v>130</v>
      </c>
      <c r="B1146" s="329">
        <v>1402</v>
      </c>
      <c r="C1146" s="243" t="s">
        <v>362</v>
      </c>
      <c r="D1146" s="188">
        <v>60100</v>
      </c>
      <c r="E1146" s="192" t="s">
        <v>7</v>
      </c>
      <c r="F1146" s="226"/>
      <c r="G1146" s="242">
        <v>500000</v>
      </c>
      <c r="H1146" s="242">
        <v>122200</v>
      </c>
      <c r="I1146" s="315">
        <v>500000</v>
      </c>
      <c r="J1146" s="315"/>
      <c r="K1146" s="614">
        <f t="shared" si="36"/>
        <v>500000</v>
      </c>
      <c r="L1146" s="614">
        <f t="shared" si="35"/>
        <v>377800</v>
      </c>
    </row>
    <row r="1147" spans="1:12" ht="30" customHeight="1">
      <c r="A1147" s="241" t="s">
        <v>130</v>
      </c>
      <c r="B1147" s="329">
        <v>1402</v>
      </c>
      <c r="C1147" s="243" t="s">
        <v>362</v>
      </c>
      <c r="D1147" s="188">
        <v>60101</v>
      </c>
      <c r="E1147" s="192" t="s">
        <v>255</v>
      </c>
      <c r="F1147" s="226"/>
      <c r="G1147" s="242"/>
      <c r="H1147" s="242"/>
      <c r="I1147" s="267"/>
      <c r="J1147" s="315"/>
      <c r="K1147" s="614">
        <f t="shared" si="36"/>
        <v>0</v>
      </c>
      <c r="L1147" s="614">
        <f t="shared" si="35"/>
        <v>0</v>
      </c>
    </row>
    <row r="1148" spans="1:12" ht="30" customHeight="1">
      <c r="A1148" s="241" t="s">
        <v>130</v>
      </c>
      <c r="B1148" s="329">
        <v>1402</v>
      </c>
      <c r="C1148" s="243" t="s">
        <v>362</v>
      </c>
      <c r="D1148" s="188">
        <v>6122</v>
      </c>
      <c r="E1148" s="235" t="s">
        <v>582</v>
      </c>
      <c r="F1148" s="226"/>
      <c r="G1148" s="242">
        <v>400000</v>
      </c>
      <c r="H1148" s="242">
        <v>100000</v>
      </c>
      <c r="I1148" s="315">
        <v>400000</v>
      </c>
      <c r="J1148" s="315"/>
      <c r="K1148" s="614">
        <f t="shared" si="36"/>
        <v>400000</v>
      </c>
      <c r="L1148" s="614">
        <f t="shared" si="35"/>
        <v>300000</v>
      </c>
    </row>
    <row r="1149" spans="1:12" ht="30" customHeight="1">
      <c r="A1149" s="241" t="s">
        <v>130</v>
      </c>
      <c r="B1149" s="329">
        <v>1402</v>
      </c>
      <c r="C1149" s="243" t="s">
        <v>362</v>
      </c>
      <c r="D1149" s="188">
        <v>6175</v>
      </c>
      <c r="E1149" s="194" t="s">
        <v>13</v>
      </c>
      <c r="F1149" s="253"/>
      <c r="G1149" s="242"/>
      <c r="H1149" s="242"/>
      <c r="I1149" s="267"/>
      <c r="J1149" s="315"/>
      <c r="K1149" s="614">
        <f t="shared" si="36"/>
        <v>0</v>
      </c>
      <c r="L1149" s="614">
        <f t="shared" si="35"/>
        <v>0</v>
      </c>
    </row>
    <row r="1150" spans="1:12" ht="30" customHeight="1">
      <c r="A1150" s="241" t="s">
        <v>130</v>
      </c>
      <c r="B1150" s="329">
        <v>1402</v>
      </c>
      <c r="C1150" s="243" t="s">
        <v>362</v>
      </c>
      <c r="D1150" s="257" t="s">
        <v>20</v>
      </c>
      <c r="E1150" s="226"/>
      <c r="F1150" s="98">
        <f>SUM(F1145:F1149)</f>
        <v>4</v>
      </c>
      <c r="G1150" s="98">
        <f>SUM(G1145:G1149)</f>
        <v>18616600</v>
      </c>
      <c r="H1150" s="98">
        <f>SUM(H1145:H1149)</f>
        <v>10938599.720000004</v>
      </c>
      <c r="I1150" s="98">
        <f>SUM(I1145:I1149)</f>
        <v>18616600</v>
      </c>
      <c r="J1150" s="581">
        <f>SUM(J1145:J1149)</f>
        <v>0</v>
      </c>
      <c r="K1150" s="614">
        <f t="shared" si="36"/>
        <v>18616600</v>
      </c>
      <c r="L1150" s="614">
        <f t="shared" si="35"/>
        <v>7678000.279999996</v>
      </c>
    </row>
    <row r="1151" spans="1:12" ht="30" customHeight="1">
      <c r="A1151" s="241" t="s">
        <v>130</v>
      </c>
      <c r="B1151" s="329">
        <v>1403</v>
      </c>
      <c r="C1151" s="243" t="s">
        <v>362</v>
      </c>
      <c r="D1151" s="254" t="s">
        <v>162</v>
      </c>
      <c r="E1151" s="272"/>
      <c r="F1151" s="272"/>
      <c r="G1151" s="242"/>
      <c r="H1151" s="242"/>
      <c r="I1151" s="242"/>
      <c r="J1151" s="315"/>
      <c r="K1151" s="614">
        <f t="shared" si="36"/>
        <v>0</v>
      </c>
      <c r="L1151" s="614">
        <f t="shared" si="35"/>
        <v>0</v>
      </c>
    </row>
    <row r="1152" spans="1:12" ht="30" customHeight="1">
      <c r="A1152" s="241" t="s">
        <v>130</v>
      </c>
      <c r="B1152" s="329">
        <v>1403</v>
      </c>
      <c r="C1152" s="243" t="s">
        <v>362</v>
      </c>
      <c r="D1152" s="188">
        <v>6611</v>
      </c>
      <c r="E1152" s="192" t="s">
        <v>6</v>
      </c>
      <c r="F1152" s="226">
        <v>1</v>
      </c>
      <c r="G1152" s="242">
        <v>1792000</v>
      </c>
      <c r="H1152" s="242">
        <v>2861199.9600000004</v>
      </c>
      <c r="I1152" s="242">
        <v>1792000</v>
      </c>
      <c r="J1152" s="315"/>
      <c r="K1152" s="614">
        <f t="shared" si="36"/>
        <v>1792000</v>
      </c>
      <c r="L1152" s="614">
        <f t="shared" si="35"/>
        <v>-1069199.9600000004</v>
      </c>
    </row>
    <row r="1153" spans="1:12" ht="30" customHeight="1">
      <c r="A1153" s="241" t="s">
        <v>130</v>
      </c>
      <c r="B1153" s="329">
        <v>1403</v>
      </c>
      <c r="C1153" s="243" t="s">
        <v>362</v>
      </c>
      <c r="D1153" s="187">
        <v>6682</v>
      </c>
      <c r="E1153" s="194" t="s">
        <v>262</v>
      </c>
      <c r="F1153" s="253"/>
      <c r="G1153" s="315"/>
      <c r="H1153" s="315"/>
      <c r="I1153" s="315"/>
      <c r="J1153" s="315"/>
      <c r="K1153" s="614">
        <f t="shared" si="36"/>
        <v>0</v>
      </c>
      <c r="L1153" s="614">
        <f t="shared" si="35"/>
        <v>0</v>
      </c>
    </row>
    <row r="1154" spans="1:12" ht="30" customHeight="1">
      <c r="A1154" s="241" t="s">
        <v>130</v>
      </c>
      <c r="B1154" s="329">
        <v>1403</v>
      </c>
      <c r="C1154" s="243" t="s">
        <v>362</v>
      </c>
      <c r="D1154" s="188">
        <v>60100</v>
      </c>
      <c r="E1154" s="192" t="s">
        <v>34</v>
      </c>
      <c r="F1154" s="226"/>
      <c r="G1154" s="315">
        <v>601400</v>
      </c>
      <c r="H1154" s="315"/>
      <c r="I1154" s="315">
        <v>601400</v>
      </c>
      <c r="J1154" s="315"/>
      <c r="K1154" s="614">
        <f t="shared" si="36"/>
        <v>601400</v>
      </c>
      <c r="L1154" s="614">
        <f t="shared" si="35"/>
        <v>601400</v>
      </c>
    </row>
    <row r="1155" spans="1:12" ht="30" customHeight="1">
      <c r="A1155" s="241" t="s">
        <v>130</v>
      </c>
      <c r="B1155" s="329">
        <v>1403</v>
      </c>
      <c r="C1155" s="243" t="s">
        <v>362</v>
      </c>
      <c r="D1155" s="188">
        <v>60101</v>
      </c>
      <c r="E1155" s="192" t="s">
        <v>265</v>
      </c>
      <c r="F1155" s="226"/>
      <c r="G1155" s="315"/>
      <c r="H1155" s="357"/>
      <c r="I1155" s="357"/>
      <c r="J1155" s="315"/>
      <c r="K1155" s="614">
        <f t="shared" si="36"/>
        <v>0</v>
      </c>
      <c r="L1155" s="614">
        <f t="shared" si="35"/>
        <v>0</v>
      </c>
    </row>
    <row r="1156" spans="1:12" ht="30" customHeight="1">
      <c r="A1156" s="241" t="s">
        <v>130</v>
      </c>
      <c r="B1156" s="329">
        <v>1403</v>
      </c>
      <c r="C1156" s="243" t="s">
        <v>362</v>
      </c>
      <c r="D1156" s="188">
        <v>6122</v>
      </c>
      <c r="E1156" s="235" t="s">
        <v>582</v>
      </c>
      <c r="F1156" s="253"/>
      <c r="G1156" s="315"/>
      <c r="H1156" s="294"/>
      <c r="I1156" s="315"/>
      <c r="J1156" s="315"/>
      <c r="K1156" s="614">
        <f t="shared" si="36"/>
        <v>0</v>
      </c>
      <c r="L1156" s="614">
        <f t="shared" si="35"/>
        <v>0</v>
      </c>
    </row>
    <row r="1157" spans="1:12" ht="30" customHeight="1">
      <c r="A1157" s="241" t="s">
        <v>130</v>
      </c>
      <c r="B1157" s="329">
        <v>1403</v>
      </c>
      <c r="C1157" s="243" t="s">
        <v>362</v>
      </c>
      <c r="D1157" s="187">
        <v>6131</v>
      </c>
      <c r="E1157" s="194" t="s">
        <v>269</v>
      </c>
      <c r="F1157" s="253"/>
      <c r="G1157" s="315"/>
      <c r="H1157" s="315"/>
      <c r="I1157" s="315"/>
      <c r="J1157" s="315"/>
      <c r="K1157" s="614">
        <f t="shared" si="36"/>
        <v>0</v>
      </c>
      <c r="L1157" s="614">
        <f t="shared" si="35"/>
        <v>0</v>
      </c>
    </row>
    <row r="1158" spans="1:12" ht="30" customHeight="1">
      <c r="A1158" s="241" t="s">
        <v>130</v>
      </c>
      <c r="B1158" s="329">
        <v>1403</v>
      </c>
      <c r="C1158" s="243" t="s">
        <v>362</v>
      </c>
      <c r="D1158" s="187">
        <v>6133</v>
      </c>
      <c r="E1158" s="194" t="s">
        <v>110</v>
      </c>
      <c r="F1158" s="253"/>
      <c r="G1158" s="315"/>
      <c r="H1158" s="315"/>
      <c r="I1158" s="315"/>
      <c r="J1158" s="315"/>
      <c r="K1158" s="614">
        <f t="shared" si="36"/>
        <v>0</v>
      </c>
      <c r="L1158" s="614">
        <f t="shared" si="35"/>
        <v>0</v>
      </c>
    </row>
    <row r="1159" spans="1:12" ht="30" customHeight="1">
      <c r="A1159" s="241" t="s">
        <v>130</v>
      </c>
      <c r="B1159" s="329">
        <v>1403</v>
      </c>
      <c r="C1159" s="243"/>
      <c r="D1159" s="187">
        <v>6051</v>
      </c>
      <c r="E1159" s="194" t="s">
        <v>601</v>
      </c>
      <c r="F1159" s="253"/>
      <c r="G1159" s="315"/>
      <c r="H1159" s="357"/>
      <c r="I1159" s="315"/>
      <c r="J1159" s="315"/>
      <c r="K1159" s="614">
        <f t="shared" si="36"/>
        <v>0</v>
      </c>
      <c r="L1159" s="614">
        <f aca="true" t="shared" si="37" ref="L1159:L1222">K1159-H1159</f>
        <v>0</v>
      </c>
    </row>
    <row r="1160" spans="1:12" ht="30" customHeight="1">
      <c r="A1160" s="241" t="s">
        <v>130</v>
      </c>
      <c r="B1160" s="329">
        <v>1403</v>
      </c>
      <c r="C1160" s="243" t="s">
        <v>362</v>
      </c>
      <c r="D1160" s="187">
        <v>6052</v>
      </c>
      <c r="E1160" s="194" t="s">
        <v>598</v>
      </c>
      <c r="F1160" s="315"/>
      <c r="G1160" s="315">
        <v>480000</v>
      </c>
      <c r="H1160" s="315"/>
      <c r="I1160" s="315">
        <v>480000</v>
      </c>
      <c r="J1160" s="315"/>
      <c r="K1160" s="614">
        <f t="shared" si="36"/>
        <v>480000</v>
      </c>
      <c r="L1160" s="614">
        <f t="shared" si="37"/>
        <v>480000</v>
      </c>
    </row>
    <row r="1161" spans="1:12" ht="30" customHeight="1">
      <c r="A1161" s="241" t="s">
        <v>130</v>
      </c>
      <c r="B1161" s="329">
        <v>1403</v>
      </c>
      <c r="C1161" s="243" t="s">
        <v>362</v>
      </c>
      <c r="D1161" s="187">
        <v>6112</v>
      </c>
      <c r="E1161" s="194" t="s">
        <v>236</v>
      </c>
      <c r="F1161" s="253"/>
      <c r="G1161" s="315"/>
      <c r="H1161" s="315"/>
      <c r="I1161" s="315"/>
      <c r="J1161" s="315"/>
      <c r="K1161" s="614">
        <f t="shared" si="36"/>
        <v>0</v>
      </c>
      <c r="L1161" s="614">
        <f t="shared" si="37"/>
        <v>0</v>
      </c>
    </row>
    <row r="1162" spans="1:12" ht="30" customHeight="1">
      <c r="A1162" s="241" t="s">
        <v>130</v>
      </c>
      <c r="B1162" s="329">
        <v>1403</v>
      </c>
      <c r="C1162" s="243" t="s">
        <v>362</v>
      </c>
      <c r="D1162" s="187">
        <v>6175</v>
      </c>
      <c r="E1162" s="194" t="s">
        <v>13</v>
      </c>
      <c r="F1162" s="253"/>
      <c r="G1162" s="315"/>
      <c r="H1162" s="315"/>
      <c r="I1162" s="315"/>
      <c r="J1162" s="315"/>
      <c r="K1162" s="614">
        <f t="shared" si="36"/>
        <v>0</v>
      </c>
      <c r="L1162" s="614">
        <f t="shared" si="37"/>
        <v>0</v>
      </c>
    </row>
    <row r="1163" spans="1:12" ht="30" customHeight="1">
      <c r="A1163" s="241" t="s">
        <v>130</v>
      </c>
      <c r="B1163" s="329">
        <v>1403</v>
      </c>
      <c r="C1163" s="243" t="s">
        <v>362</v>
      </c>
      <c r="D1163" s="187">
        <v>2171</v>
      </c>
      <c r="E1163" s="194" t="s">
        <v>284</v>
      </c>
      <c r="F1163" s="253"/>
      <c r="G1163" s="315"/>
      <c r="H1163" s="315"/>
      <c r="I1163" s="315"/>
      <c r="J1163" s="315"/>
      <c r="K1163" s="614">
        <f t="shared" si="36"/>
        <v>0</v>
      </c>
      <c r="L1163" s="614">
        <f t="shared" si="37"/>
        <v>0</v>
      </c>
    </row>
    <row r="1164" spans="1:12" ht="30" customHeight="1">
      <c r="A1164" s="241" t="s">
        <v>130</v>
      </c>
      <c r="B1164" s="329">
        <v>1403</v>
      </c>
      <c r="C1164" s="243" t="s">
        <v>362</v>
      </c>
      <c r="D1164" s="257" t="s">
        <v>20</v>
      </c>
      <c r="E1164" s="267"/>
      <c r="F1164" s="267"/>
      <c r="G1164" s="98">
        <f>SUBTOTAL(109,G1152:G1163)</f>
        <v>2873400</v>
      </c>
      <c r="H1164" s="98">
        <f>SUBTOTAL(109,H1152:H1163)</f>
        <v>2861199.9600000004</v>
      </c>
      <c r="I1164" s="98">
        <f>SUBTOTAL(109,I1152:I1163)</f>
        <v>2873400</v>
      </c>
      <c r="J1164" s="581">
        <f>SUBTOTAL(109,J1152:J1163)</f>
        <v>0</v>
      </c>
      <c r="K1164" s="614">
        <f t="shared" si="36"/>
        <v>2873400</v>
      </c>
      <c r="L1164" s="614">
        <f t="shared" si="37"/>
        <v>12200.039999999572</v>
      </c>
    </row>
    <row r="1165" spans="1:12" ht="30" customHeight="1">
      <c r="A1165" s="241" t="s">
        <v>130</v>
      </c>
      <c r="B1165" s="329">
        <v>1404</v>
      </c>
      <c r="C1165" s="243" t="s">
        <v>362</v>
      </c>
      <c r="D1165" s="254" t="s">
        <v>163</v>
      </c>
      <c r="E1165" s="267"/>
      <c r="F1165" s="267"/>
      <c r="G1165" s="242"/>
      <c r="H1165" s="242"/>
      <c r="I1165" s="242"/>
      <c r="J1165" s="315"/>
      <c r="K1165" s="614">
        <f aca="true" t="shared" si="38" ref="K1165:K1228">I1165+J1165</f>
        <v>0</v>
      </c>
      <c r="L1165" s="614">
        <f t="shared" si="37"/>
        <v>0</v>
      </c>
    </row>
    <row r="1166" spans="1:12" ht="30" customHeight="1">
      <c r="A1166" s="241" t="s">
        <v>130</v>
      </c>
      <c r="B1166" s="329">
        <v>1404</v>
      </c>
      <c r="C1166" s="243" t="s">
        <v>362</v>
      </c>
      <c r="D1166" s="187">
        <v>6611</v>
      </c>
      <c r="E1166" s="270" t="s">
        <v>6</v>
      </c>
      <c r="F1166" s="267">
        <v>11</v>
      </c>
      <c r="G1166" s="242">
        <v>16659200</v>
      </c>
      <c r="H1166" s="242">
        <v>14461400.740000004</v>
      </c>
      <c r="I1166" s="242">
        <v>16659200</v>
      </c>
      <c r="J1166" s="315"/>
      <c r="K1166" s="614">
        <f t="shared" si="38"/>
        <v>16659200</v>
      </c>
      <c r="L1166" s="614">
        <f t="shared" si="37"/>
        <v>2197799.259999996</v>
      </c>
    </row>
    <row r="1167" spans="1:12" ht="30" customHeight="1">
      <c r="A1167" s="241" t="s">
        <v>130</v>
      </c>
      <c r="B1167" s="329">
        <v>1404</v>
      </c>
      <c r="C1167" s="243" t="s">
        <v>362</v>
      </c>
      <c r="D1167" s="187">
        <v>6682</v>
      </c>
      <c r="E1167" s="194" t="s">
        <v>262</v>
      </c>
      <c r="F1167" s="253"/>
      <c r="G1167" s="315"/>
      <c r="H1167" s="315"/>
      <c r="I1167" s="315"/>
      <c r="J1167" s="315"/>
      <c r="K1167" s="614">
        <f t="shared" si="38"/>
        <v>0</v>
      </c>
      <c r="L1167" s="614">
        <f t="shared" si="37"/>
        <v>0</v>
      </c>
    </row>
    <row r="1168" spans="1:12" ht="30" customHeight="1">
      <c r="A1168" s="241" t="s">
        <v>130</v>
      </c>
      <c r="B1168" s="329">
        <v>1404</v>
      </c>
      <c r="C1168" s="243" t="s">
        <v>362</v>
      </c>
      <c r="D1168" s="188">
        <v>60100</v>
      </c>
      <c r="E1168" s="192" t="s">
        <v>34</v>
      </c>
      <c r="F1168" s="226"/>
      <c r="G1168" s="315">
        <v>562600</v>
      </c>
      <c r="H1168" s="315">
        <v>140000</v>
      </c>
      <c r="I1168" s="315">
        <v>562600</v>
      </c>
      <c r="J1168" s="315"/>
      <c r="K1168" s="614">
        <f t="shared" si="38"/>
        <v>562600</v>
      </c>
      <c r="L1168" s="614">
        <f t="shared" si="37"/>
        <v>422600</v>
      </c>
    </row>
    <row r="1169" spans="1:12" ht="30" customHeight="1">
      <c r="A1169" s="241" t="s">
        <v>130</v>
      </c>
      <c r="B1169" s="329">
        <v>1404</v>
      </c>
      <c r="C1169" s="243" t="s">
        <v>362</v>
      </c>
      <c r="D1169" s="188">
        <v>60101</v>
      </c>
      <c r="E1169" s="192" t="s">
        <v>265</v>
      </c>
      <c r="F1169" s="226"/>
      <c r="G1169" s="315">
        <v>470000</v>
      </c>
      <c r="H1169" s="315">
        <v>117000</v>
      </c>
      <c r="I1169" s="315">
        <v>470000</v>
      </c>
      <c r="J1169" s="315"/>
      <c r="K1169" s="614">
        <f t="shared" si="38"/>
        <v>470000</v>
      </c>
      <c r="L1169" s="614">
        <f t="shared" si="37"/>
        <v>353000</v>
      </c>
    </row>
    <row r="1170" spans="1:12" ht="30" customHeight="1">
      <c r="A1170" s="241" t="s">
        <v>130</v>
      </c>
      <c r="B1170" s="329">
        <v>1404</v>
      </c>
      <c r="C1170" s="243" t="s">
        <v>362</v>
      </c>
      <c r="D1170" s="188">
        <v>6122</v>
      </c>
      <c r="E1170" s="235" t="s">
        <v>582</v>
      </c>
      <c r="F1170" s="253"/>
      <c r="G1170" s="315">
        <v>400000</v>
      </c>
      <c r="H1170" s="315"/>
      <c r="I1170" s="315">
        <v>400000</v>
      </c>
      <c r="J1170" s="315"/>
      <c r="K1170" s="614">
        <f t="shared" si="38"/>
        <v>400000</v>
      </c>
      <c r="L1170" s="614">
        <f t="shared" si="37"/>
        <v>400000</v>
      </c>
    </row>
    <row r="1171" spans="1:12" ht="30" customHeight="1">
      <c r="A1171" s="241" t="s">
        <v>130</v>
      </c>
      <c r="B1171" s="329">
        <v>1404</v>
      </c>
      <c r="C1171" s="243" t="s">
        <v>362</v>
      </c>
      <c r="D1171" s="187">
        <v>6133</v>
      </c>
      <c r="E1171" s="194" t="s">
        <v>110</v>
      </c>
      <c r="F1171" s="253"/>
      <c r="G1171" s="315"/>
      <c r="H1171" s="357"/>
      <c r="I1171" s="357"/>
      <c r="J1171" s="315"/>
      <c r="K1171" s="614">
        <f t="shared" si="38"/>
        <v>0</v>
      </c>
      <c r="L1171" s="614">
        <f t="shared" si="37"/>
        <v>0</v>
      </c>
    </row>
    <row r="1172" spans="1:12" ht="30" customHeight="1">
      <c r="A1172" s="241" t="s">
        <v>130</v>
      </c>
      <c r="B1172" s="329">
        <v>1404</v>
      </c>
      <c r="C1172" s="243" t="s">
        <v>362</v>
      </c>
      <c r="D1172" s="187">
        <v>6111</v>
      </c>
      <c r="E1172" s="194" t="s">
        <v>238</v>
      </c>
      <c r="F1172" s="253"/>
      <c r="G1172" s="315"/>
      <c r="H1172" s="315"/>
      <c r="I1172" s="315"/>
      <c r="J1172" s="315"/>
      <c r="K1172" s="614">
        <f t="shared" si="38"/>
        <v>0</v>
      </c>
      <c r="L1172" s="614">
        <f t="shared" si="37"/>
        <v>0</v>
      </c>
    </row>
    <row r="1173" spans="1:12" ht="30" customHeight="1">
      <c r="A1173" s="241" t="s">
        <v>130</v>
      </c>
      <c r="B1173" s="329">
        <v>1404</v>
      </c>
      <c r="C1173" s="243" t="s">
        <v>362</v>
      </c>
      <c r="D1173" s="187">
        <v>6112</v>
      </c>
      <c r="E1173" s="194" t="s">
        <v>236</v>
      </c>
      <c r="F1173" s="253"/>
      <c r="G1173" s="315"/>
      <c r="H1173" s="315"/>
      <c r="I1173" s="315"/>
      <c r="J1173" s="315"/>
      <c r="K1173" s="614">
        <f t="shared" si="38"/>
        <v>0</v>
      </c>
      <c r="L1173" s="614">
        <f t="shared" si="37"/>
        <v>0</v>
      </c>
    </row>
    <row r="1174" spans="1:12" ht="30" customHeight="1">
      <c r="A1174" s="241" t="s">
        <v>130</v>
      </c>
      <c r="B1174" s="329">
        <v>1404</v>
      </c>
      <c r="C1174" s="243" t="s">
        <v>362</v>
      </c>
      <c r="D1174" s="187">
        <v>6171</v>
      </c>
      <c r="E1174" s="194" t="s">
        <v>214</v>
      </c>
      <c r="F1174" s="253"/>
      <c r="G1174" s="315"/>
      <c r="H1174" s="315"/>
      <c r="I1174" s="315"/>
      <c r="J1174" s="315"/>
      <c r="K1174" s="614">
        <f t="shared" si="38"/>
        <v>0</v>
      </c>
      <c r="L1174" s="614">
        <f t="shared" si="37"/>
        <v>0</v>
      </c>
    </row>
    <row r="1175" spans="1:12" ht="30" customHeight="1">
      <c r="A1175" s="241" t="s">
        <v>130</v>
      </c>
      <c r="B1175" s="329">
        <v>1404</v>
      </c>
      <c r="C1175" s="243" t="s">
        <v>362</v>
      </c>
      <c r="D1175" s="187">
        <v>2165</v>
      </c>
      <c r="E1175" s="194" t="s">
        <v>283</v>
      </c>
      <c r="F1175" s="253"/>
      <c r="G1175" s="315"/>
      <c r="H1175" s="315"/>
      <c r="I1175" s="315"/>
      <c r="J1175" s="315"/>
      <c r="K1175" s="614">
        <f t="shared" si="38"/>
        <v>0</v>
      </c>
      <c r="L1175" s="614">
        <f t="shared" si="37"/>
        <v>0</v>
      </c>
    </row>
    <row r="1176" spans="1:12" ht="30" customHeight="1">
      <c r="A1176" s="241" t="s">
        <v>130</v>
      </c>
      <c r="B1176" s="329">
        <v>1404</v>
      </c>
      <c r="C1176" s="243" t="s">
        <v>362</v>
      </c>
      <c r="D1176" s="257" t="s">
        <v>20</v>
      </c>
      <c r="E1176" s="270"/>
      <c r="F1176" s="98">
        <f>SUBTOTAL(109,F1166:F1175)</f>
        <v>11</v>
      </c>
      <c r="G1176" s="98">
        <f>SUBTOTAL(109,G1166:G1175)</f>
        <v>18091800</v>
      </c>
      <c r="H1176" s="98">
        <f>SUBTOTAL(109,H1166:H1175)</f>
        <v>14718400.740000004</v>
      </c>
      <c r="I1176" s="98">
        <f>SUBTOTAL(109,I1166:I1175)</f>
        <v>18091800</v>
      </c>
      <c r="J1176" s="581">
        <f>SUBTOTAL(109,J1166:J1175)</f>
        <v>0</v>
      </c>
      <c r="K1176" s="614">
        <f t="shared" si="38"/>
        <v>18091800</v>
      </c>
      <c r="L1176" s="614">
        <f t="shared" si="37"/>
        <v>3373399.259999996</v>
      </c>
    </row>
    <row r="1177" spans="1:12" ht="30" customHeight="1">
      <c r="A1177" s="241" t="s">
        <v>130</v>
      </c>
      <c r="B1177" s="329">
        <v>1405</v>
      </c>
      <c r="C1177" s="243" t="s">
        <v>362</v>
      </c>
      <c r="D1177" s="254" t="s">
        <v>164</v>
      </c>
      <c r="E1177" s="267"/>
      <c r="F1177" s="267"/>
      <c r="G1177" s="242"/>
      <c r="H1177" s="242"/>
      <c r="I1177" s="242"/>
      <c r="J1177" s="315"/>
      <c r="K1177" s="614">
        <f t="shared" si="38"/>
        <v>0</v>
      </c>
      <c r="L1177" s="614">
        <f t="shared" si="37"/>
        <v>0</v>
      </c>
    </row>
    <row r="1178" spans="1:12" ht="30" customHeight="1">
      <c r="A1178" s="241" t="s">
        <v>130</v>
      </c>
      <c r="B1178" s="329">
        <v>1405</v>
      </c>
      <c r="C1178" s="243" t="s">
        <v>362</v>
      </c>
      <c r="D1178" s="188">
        <v>6611</v>
      </c>
      <c r="E1178" s="270" t="s">
        <v>6</v>
      </c>
      <c r="F1178" s="267"/>
      <c r="G1178" s="242"/>
      <c r="H1178" s="242"/>
      <c r="I1178" s="242"/>
      <c r="J1178" s="315"/>
      <c r="K1178" s="614">
        <f t="shared" si="38"/>
        <v>0</v>
      </c>
      <c r="L1178" s="614">
        <f t="shared" si="37"/>
        <v>0</v>
      </c>
    </row>
    <row r="1179" spans="1:12" ht="30" customHeight="1">
      <c r="A1179" s="241" t="s">
        <v>130</v>
      </c>
      <c r="B1179" s="329">
        <v>1405</v>
      </c>
      <c r="C1179" s="243" t="s">
        <v>362</v>
      </c>
      <c r="D1179" s="187">
        <v>6682</v>
      </c>
      <c r="E1179" s="194" t="s">
        <v>262</v>
      </c>
      <c r="F1179" s="253"/>
      <c r="G1179" s="315"/>
      <c r="H1179" s="315"/>
      <c r="I1179" s="315"/>
      <c r="J1179" s="315"/>
      <c r="K1179" s="614">
        <f t="shared" si="38"/>
        <v>0</v>
      </c>
      <c r="L1179" s="614">
        <f t="shared" si="37"/>
        <v>0</v>
      </c>
    </row>
    <row r="1180" spans="1:12" ht="30" customHeight="1">
      <c r="A1180" s="241" t="s">
        <v>130</v>
      </c>
      <c r="B1180" s="329">
        <v>1405</v>
      </c>
      <c r="C1180" s="243" t="s">
        <v>362</v>
      </c>
      <c r="D1180" s="188">
        <v>60100</v>
      </c>
      <c r="E1180" s="192" t="s">
        <v>34</v>
      </c>
      <c r="F1180" s="226"/>
      <c r="G1180" s="315">
        <v>562600</v>
      </c>
      <c r="H1180" s="315">
        <v>140000</v>
      </c>
      <c r="I1180" s="315">
        <v>562600</v>
      </c>
      <c r="J1180" s="315"/>
      <c r="K1180" s="614">
        <f t="shared" si="38"/>
        <v>562600</v>
      </c>
      <c r="L1180" s="614">
        <f t="shared" si="37"/>
        <v>422600</v>
      </c>
    </row>
    <row r="1181" spans="1:12" ht="30" customHeight="1">
      <c r="A1181" s="241" t="s">
        <v>130</v>
      </c>
      <c r="B1181" s="329">
        <v>1405</v>
      </c>
      <c r="C1181" s="243" t="s">
        <v>362</v>
      </c>
      <c r="D1181" s="188">
        <v>60101</v>
      </c>
      <c r="E1181" s="192" t="s">
        <v>265</v>
      </c>
      <c r="F1181" s="226"/>
      <c r="G1181" s="315">
        <v>470000</v>
      </c>
      <c r="H1181" s="315">
        <v>117000</v>
      </c>
      <c r="I1181" s="315">
        <v>470000</v>
      </c>
      <c r="J1181" s="315"/>
      <c r="K1181" s="614">
        <f t="shared" si="38"/>
        <v>470000</v>
      </c>
      <c r="L1181" s="614">
        <f t="shared" si="37"/>
        <v>353000</v>
      </c>
    </row>
    <row r="1182" spans="1:12" ht="30" customHeight="1">
      <c r="A1182" s="241" t="s">
        <v>130</v>
      </c>
      <c r="B1182" s="329">
        <v>1405</v>
      </c>
      <c r="C1182" s="243" t="s">
        <v>362</v>
      </c>
      <c r="D1182" s="188">
        <v>6122</v>
      </c>
      <c r="E1182" s="235" t="s">
        <v>582</v>
      </c>
      <c r="F1182" s="253"/>
      <c r="G1182" s="315">
        <v>376750</v>
      </c>
      <c r="H1182" s="315"/>
      <c r="I1182" s="315">
        <v>376750</v>
      </c>
      <c r="J1182" s="315"/>
      <c r="K1182" s="614">
        <f t="shared" si="38"/>
        <v>376750</v>
      </c>
      <c r="L1182" s="614">
        <f t="shared" si="37"/>
        <v>376750</v>
      </c>
    </row>
    <row r="1183" spans="1:12" ht="30" customHeight="1">
      <c r="A1183" s="241" t="s">
        <v>130</v>
      </c>
      <c r="B1183" s="329">
        <v>1405</v>
      </c>
      <c r="C1183" s="243" t="s">
        <v>362</v>
      </c>
      <c r="D1183" s="187">
        <v>6133</v>
      </c>
      <c r="E1183" s="194" t="s">
        <v>110</v>
      </c>
      <c r="F1183" s="253"/>
      <c r="G1183" s="315"/>
      <c r="H1183" s="357"/>
      <c r="I1183" s="357"/>
      <c r="J1183" s="315"/>
      <c r="K1183" s="614">
        <f t="shared" si="38"/>
        <v>0</v>
      </c>
      <c r="L1183" s="614">
        <f t="shared" si="37"/>
        <v>0</v>
      </c>
    </row>
    <row r="1184" spans="1:12" ht="30" customHeight="1">
      <c r="A1184" s="241" t="s">
        <v>130</v>
      </c>
      <c r="B1184" s="329">
        <v>1405</v>
      </c>
      <c r="C1184" s="243" t="s">
        <v>362</v>
      </c>
      <c r="D1184" s="187">
        <v>6111</v>
      </c>
      <c r="E1184" s="194" t="s">
        <v>238</v>
      </c>
      <c r="F1184" s="253"/>
      <c r="G1184" s="315"/>
      <c r="H1184" s="315"/>
      <c r="I1184" s="315"/>
      <c r="J1184" s="315"/>
      <c r="K1184" s="614">
        <f t="shared" si="38"/>
        <v>0</v>
      </c>
      <c r="L1184" s="614">
        <f t="shared" si="37"/>
        <v>0</v>
      </c>
    </row>
    <row r="1185" spans="1:12" ht="30" customHeight="1">
      <c r="A1185" s="241" t="s">
        <v>130</v>
      </c>
      <c r="B1185" s="329">
        <v>1405</v>
      </c>
      <c r="C1185" s="243" t="s">
        <v>362</v>
      </c>
      <c r="D1185" s="187">
        <v>6112</v>
      </c>
      <c r="E1185" s="194" t="s">
        <v>236</v>
      </c>
      <c r="F1185" s="253"/>
      <c r="G1185" s="315"/>
      <c r="H1185" s="315"/>
      <c r="I1185" s="315"/>
      <c r="J1185" s="315"/>
      <c r="K1185" s="614">
        <f t="shared" si="38"/>
        <v>0</v>
      </c>
      <c r="L1185" s="614">
        <f t="shared" si="37"/>
        <v>0</v>
      </c>
    </row>
    <row r="1186" spans="1:12" ht="30" customHeight="1">
      <c r="A1186" s="241" t="s">
        <v>130</v>
      </c>
      <c r="B1186" s="329">
        <v>1405</v>
      </c>
      <c r="C1186" s="243" t="s">
        <v>362</v>
      </c>
      <c r="D1186" s="187">
        <v>6171</v>
      </c>
      <c r="E1186" s="194" t="s">
        <v>214</v>
      </c>
      <c r="F1186" s="253"/>
      <c r="G1186" s="315"/>
      <c r="H1186" s="315"/>
      <c r="I1186" s="315"/>
      <c r="J1186" s="315"/>
      <c r="K1186" s="614">
        <f t="shared" si="38"/>
        <v>0</v>
      </c>
      <c r="L1186" s="614">
        <f t="shared" si="37"/>
        <v>0</v>
      </c>
    </row>
    <row r="1187" spans="1:12" ht="30" customHeight="1">
      <c r="A1187" s="241" t="s">
        <v>130</v>
      </c>
      <c r="B1187" s="329">
        <v>1405</v>
      </c>
      <c r="C1187" s="243" t="s">
        <v>362</v>
      </c>
      <c r="D1187" s="187">
        <v>6311</v>
      </c>
      <c r="E1187" s="301" t="s">
        <v>528</v>
      </c>
      <c r="F1187" s="253"/>
      <c r="G1187" s="315">
        <v>20000000</v>
      </c>
      <c r="H1187" s="315">
        <v>15000000</v>
      </c>
      <c r="I1187" s="315">
        <v>20000000</v>
      </c>
      <c r="J1187" s="315"/>
      <c r="K1187" s="614">
        <f t="shared" si="38"/>
        <v>20000000</v>
      </c>
      <c r="L1187" s="614">
        <f t="shared" si="37"/>
        <v>5000000</v>
      </c>
    </row>
    <row r="1188" spans="1:12" ht="30" customHeight="1">
      <c r="A1188" s="241" t="s">
        <v>130</v>
      </c>
      <c r="B1188" s="329">
        <v>1405</v>
      </c>
      <c r="C1188" s="243" t="s">
        <v>362</v>
      </c>
      <c r="D1188" s="187">
        <v>2165</v>
      </c>
      <c r="E1188" s="194" t="s">
        <v>283</v>
      </c>
      <c r="F1188" s="253"/>
      <c r="G1188" s="315"/>
      <c r="H1188" s="315"/>
      <c r="I1188" s="315"/>
      <c r="J1188" s="315"/>
      <c r="K1188" s="614">
        <f t="shared" si="38"/>
        <v>0</v>
      </c>
      <c r="L1188" s="614">
        <f t="shared" si="37"/>
        <v>0</v>
      </c>
    </row>
    <row r="1189" spans="1:12" ht="30" customHeight="1">
      <c r="A1189" s="241" t="s">
        <v>130</v>
      </c>
      <c r="B1189" s="329">
        <v>1405</v>
      </c>
      <c r="C1189" s="243" t="s">
        <v>362</v>
      </c>
      <c r="D1189" s="257" t="s">
        <v>20</v>
      </c>
      <c r="E1189" s="267"/>
      <c r="F1189" s="267"/>
      <c r="G1189" s="98">
        <f>SUBTOTAL(109,G1180:G1188)</f>
        <v>21409350</v>
      </c>
      <c r="H1189" s="98">
        <f>SUBTOTAL(109,H1180:H1188)</f>
        <v>15257000</v>
      </c>
      <c r="I1189" s="98">
        <f>SUBTOTAL(109,I1180:I1188)</f>
        <v>21409350</v>
      </c>
      <c r="J1189" s="581">
        <f>SUBTOTAL(109,J1180:J1188)</f>
        <v>0</v>
      </c>
      <c r="K1189" s="614">
        <f t="shared" si="38"/>
        <v>21409350</v>
      </c>
      <c r="L1189" s="614">
        <f t="shared" si="37"/>
        <v>6152350</v>
      </c>
    </row>
    <row r="1190" spans="1:12" ht="30" customHeight="1">
      <c r="A1190" s="241" t="s">
        <v>130</v>
      </c>
      <c r="B1190" s="329">
        <v>1406</v>
      </c>
      <c r="C1190" s="243" t="s">
        <v>503</v>
      </c>
      <c r="D1190" s="255" t="s">
        <v>225</v>
      </c>
      <c r="E1190" s="267"/>
      <c r="F1190" s="267"/>
      <c r="G1190" s="98"/>
      <c r="H1190" s="98"/>
      <c r="I1190" s="98"/>
      <c r="J1190" s="315"/>
      <c r="K1190" s="614">
        <f t="shared" si="38"/>
        <v>0</v>
      </c>
      <c r="L1190" s="614">
        <f t="shared" si="37"/>
        <v>0</v>
      </c>
    </row>
    <row r="1191" spans="1:12" ht="30" customHeight="1">
      <c r="A1191" s="241" t="s">
        <v>130</v>
      </c>
      <c r="B1191" s="329">
        <v>1406</v>
      </c>
      <c r="C1191" s="243" t="s">
        <v>503</v>
      </c>
      <c r="D1191" s="188">
        <v>6611</v>
      </c>
      <c r="E1191" s="270" t="s">
        <v>6</v>
      </c>
      <c r="F1191" s="267">
        <v>4</v>
      </c>
      <c r="G1191" s="242">
        <f>5530800+5037200</f>
        <v>10568000</v>
      </c>
      <c r="H1191" s="242">
        <v>7538534.34</v>
      </c>
      <c r="I1191" s="242">
        <f>5530800+5037200</f>
        <v>10568000</v>
      </c>
      <c r="J1191" s="315"/>
      <c r="K1191" s="614">
        <f t="shared" si="38"/>
        <v>10568000</v>
      </c>
      <c r="L1191" s="614">
        <f t="shared" si="37"/>
        <v>3029465.66</v>
      </c>
    </row>
    <row r="1192" spans="1:12" ht="30" customHeight="1">
      <c r="A1192" s="241" t="s">
        <v>130</v>
      </c>
      <c r="B1192" s="329">
        <v>1406</v>
      </c>
      <c r="C1192" s="243" t="s">
        <v>503</v>
      </c>
      <c r="D1192" s="188">
        <v>6682</v>
      </c>
      <c r="E1192" s="194" t="s">
        <v>262</v>
      </c>
      <c r="F1192" s="267"/>
      <c r="G1192" s="315"/>
      <c r="H1192" s="315"/>
      <c r="I1192" s="315"/>
      <c r="J1192" s="315"/>
      <c r="K1192" s="614">
        <f t="shared" si="38"/>
        <v>0</v>
      </c>
      <c r="L1192" s="614">
        <f t="shared" si="37"/>
        <v>0</v>
      </c>
    </row>
    <row r="1193" spans="1:12" ht="30" customHeight="1">
      <c r="A1193" s="241" t="s">
        <v>130</v>
      </c>
      <c r="B1193" s="329">
        <v>1406</v>
      </c>
      <c r="C1193" s="243" t="s">
        <v>503</v>
      </c>
      <c r="D1193" s="188">
        <v>60100</v>
      </c>
      <c r="E1193" s="192" t="s">
        <v>34</v>
      </c>
      <c r="F1193" s="267"/>
      <c r="G1193" s="315">
        <v>564000</v>
      </c>
      <c r="H1193" s="315"/>
      <c r="I1193" s="315">
        <v>564000</v>
      </c>
      <c r="J1193" s="315"/>
      <c r="K1193" s="614">
        <f t="shared" si="38"/>
        <v>564000</v>
      </c>
      <c r="L1193" s="614">
        <f t="shared" si="37"/>
        <v>564000</v>
      </c>
    </row>
    <row r="1194" spans="1:12" ht="30" customHeight="1">
      <c r="A1194" s="241" t="s">
        <v>130</v>
      </c>
      <c r="B1194" s="329">
        <v>1406</v>
      </c>
      <c r="C1194" s="243" t="s">
        <v>503</v>
      </c>
      <c r="D1194" s="188">
        <v>60101</v>
      </c>
      <c r="E1194" s="192" t="s">
        <v>265</v>
      </c>
      <c r="F1194" s="267"/>
      <c r="G1194" s="315">
        <v>470000</v>
      </c>
      <c r="H1194" s="315"/>
      <c r="I1194" s="315">
        <v>470000</v>
      </c>
      <c r="J1194" s="315"/>
      <c r="K1194" s="614">
        <f t="shared" si="38"/>
        <v>470000</v>
      </c>
      <c r="L1194" s="614">
        <f t="shared" si="37"/>
        <v>470000</v>
      </c>
    </row>
    <row r="1195" spans="1:12" ht="30" customHeight="1">
      <c r="A1195" s="241" t="s">
        <v>130</v>
      </c>
      <c r="B1195" s="329">
        <v>1406</v>
      </c>
      <c r="C1195" s="243" t="s">
        <v>503</v>
      </c>
      <c r="D1195" s="188">
        <v>6122</v>
      </c>
      <c r="E1195" s="235" t="s">
        <v>582</v>
      </c>
      <c r="F1195" s="267"/>
      <c r="G1195" s="315">
        <v>376000</v>
      </c>
      <c r="H1195" s="315"/>
      <c r="I1195" s="315">
        <v>376000</v>
      </c>
      <c r="J1195" s="315"/>
      <c r="K1195" s="614">
        <f t="shared" si="38"/>
        <v>376000</v>
      </c>
      <c r="L1195" s="614">
        <f t="shared" si="37"/>
        <v>376000</v>
      </c>
    </row>
    <row r="1196" spans="1:12" ht="30" customHeight="1">
      <c r="A1196" s="241" t="s">
        <v>130</v>
      </c>
      <c r="B1196" s="329">
        <v>1406</v>
      </c>
      <c r="C1196" s="243" t="s">
        <v>503</v>
      </c>
      <c r="D1196" s="188">
        <v>6133</v>
      </c>
      <c r="E1196" s="194" t="s">
        <v>110</v>
      </c>
      <c r="F1196" s="267"/>
      <c r="G1196" s="315"/>
      <c r="H1196" s="315"/>
      <c r="I1196" s="315"/>
      <c r="J1196" s="315"/>
      <c r="K1196" s="614">
        <f t="shared" si="38"/>
        <v>0</v>
      </c>
      <c r="L1196" s="614">
        <f t="shared" si="37"/>
        <v>0</v>
      </c>
    </row>
    <row r="1197" spans="1:12" ht="30" customHeight="1">
      <c r="A1197" s="241" t="s">
        <v>130</v>
      </c>
      <c r="B1197" s="329">
        <v>1406</v>
      </c>
      <c r="C1197" s="243" t="s">
        <v>503</v>
      </c>
      <c r="D1197" s="188">
        <v>6111</v>
      </c>
      <c r="E1197" s="194" t="s">
        <v>238</v>
      </c>
      <c r="F1197" s="267"/>
      <c r="G1197" s="315"/>
      <c r="H1197" s="315"/>
      <c r="I1197" s="315"/>
      <c r="J1197" s="315"/>
      <c r="K1197" s="614">
        <f t="shared" si="38"/>
        <v>0</v>
      </c>
      <c r="L1197" s="614">
        <f t="shared" si="37"/>
        <v>0</v>
      </c>
    </row>
    <row r="1198" spans="1:12" ht="30" customHeight="1">
      <c r="A1198" s="241" t="s">
        <v>130</v>
      </c>
      <c r="B1198" s="329">
        <v>1406</v>
      </c>
      <c r="C1198" s="243" t="s">
        <v>503</v>
      </c>
      <c r="D1198" s="188">
        <v>6112</v>
      </c>
      <c r="E1198" s="194" t="s">
        <v>236</v>
      </c>
      <c r="F1198" s="267"/>
      <c r="G1198" s="315"/>
      <c r="H1198" s="315"/>
      <c r="I1198" s="315"/>
      <c r="J1198" s="315"/>
      <c r="K1198" s="614">
        <f t="shared" si="38"/>
        <v>0</v>
      </c>
      <c r="L1198" s="614">
        <f t="shared" si="37"/>
        <v>0</v>
      </c>
    </row>
    <row r="1199" spans="1:12" ht="30" customHeight="1">
      <c r="A1199" s="241" t="s">
        <v>130</v>
      </c>
      <c r="B1199" s="329">
        <v>1406</v>
      </c>
      <c r="C1199" s="243" t="s">
        <v>503</v>
      </c>
      <c r="D1199" s="257" t="s">
        <v>20</v>
      </c>
      <c r="E1199" s="267"/>
      <c r="F1199" s="98">
        <f>SUBTOTAL(109,F1191:F1195)</f>
        <v>4</v>
      </c>
      <c r="G1199" s="98">
        <f>SUBTOTAL(109,G1191:G1195)</f>
        <v>11978000</v>
      </c>
      <c r="H1199" s="98">
        <f>SUBTOTAL(109,H1191:H1195)</f>
        <v>7538534.34</v>
      </c>
      <c r="I1199" s="98">
        <f>SUBTOTAL(109,I1191:I1195)</f>
        <v>11978000</v>
      </c>
      <c r="J1199" s="581">
        <f>SUBTOTAL(109,J1191:J1195)</f>
        <v>0</v>
      </c>
      <c r="K1199" s="614">
        <f t="shared" si="38"/>
        <v>11978000</v>
      </c>
      <c r="L1199" s="614">
        <f t="shared" si="37"/>
        <v>4439465.66</v>
      </c>
    </row>
    <row r="1200" spans="1:12" ht="30" customHeight="1">
      <c r="A1200" s="241" t="s">
        <v>130</v>
      </c>
      <c r="B1200" s="329">
        <v>1407</v>
      </c>
      <c r="C1200" s="243" t="s">
        <v>362</v>
      </c>
      <c r="D1200" s="255" t="s">
        <v>239</v>
      </c>
      <c r="E1200" s="267"/>
      <c r="F1200" s="267"/>
      <c r="G1200" s="242"/>
      <c r="H1200" s="242"/>
      <c r="I1200" s="242"/>
      <c r="J1200" s="315"/>
      <c r="K1200" s="614">
        <f t="shared" si="38"/>
        <v>0</v>
      </c>
      <c r="L1200" s="614">
        <f t="shared" si="37"/>
        <v>0</v>
      </c>
    </row>
    <row r="1201" spans="1:12" ht="18" customHeight="1">
      <c r="A1201" s="241" t="s">
        <v>130</v>
      </c>
      <c r="B1201" s="329">
        <v>1407</v>
      </c>
      <c r="C1201" s="243" t="s">
        <v>362</v>
      </c>
      <c r="D1201" s="188">
        <v>6611</v>
      </c>
      <c r="E1201" s="270" t="s">
        <v>6</v>
      </c>
      <c r="F1201" s="267"/>
      <c r="G1201" s="242"/>
      <c r="H1201" s="242"/>
      <c r="I1201" s="242"/>
      <c r="J1201" s="315"/>
      <c r="K1201" s="614">
        <f t="shared" si="38"/>
        <v>0</v>
      </c>
      <c r="L1201" s="614">
        <f t="shared" si="37"/>
        <v>0</v>
      </c>
    </row>
    <row r="1202" spans="1:12" ht="18" customHeight="1">
      <c r="A1202" s="241" t="s">
        <v>130</v>
      </c>
      <c r="B1202" s="329">
        <v>1407</v>
      </c>
      <c r="C1202" s="243" t="s">
        <v>362</v>
      </c>
      <c r="D1202" s="188">
        <v>6682</v>
      </c>
      <c r="E1202" s="270" t="s">
        <v>262</v>
      </c>
      <c r="F1202" s="267"/>
      <c r="G1202" s="242"/>
      <c r="H1202" s="242"/>
      <c r="I1202" s="242"/>
      <c r="J1202" s="315"/>
      <c r="K1202" s="614">
        <f t="shared" si="38"/>
        <v>0</v>
      </c>
      <c r="L1202" s="614">
        <f t="shared" si="37"/>
        <v>0</v>
      </c>
    </row>
    <row r="1203" spans="1:12" ht="18" customHeight="1">
      <c r="A1203" s="241" t="s">
        <v>130</v>
      </c>
      <c r="B1203" s="329">
        <v>1407</v>
      </c>
      <c r="C1203" s="243" t="s">
        <v>362</v>
      </c>
      <c r="D1203" s="188">
        <v>60100</v>
      </c>
      <c r="E1203" s="270" t="s">
        <v>47</v>
      </c>
      <c r="F1203" s="267"/>
      <c r="G1203" s="242"/>
      <c r="H1203" s="242"/>
      <c r="I1203" s="242"/>
      <c r="J1203" s="315"/>
      <c r="K1203" s="614">
        <f t="shared" si="38"/>
        <v>0</v>
      </c>
      <c r="L1203" s="614">
        <f t="shared" si="37"/>
        <v>0</v>
      </c>
    </row>
    <row r="1204" spans="1:12" ht="18" customHeight="1">
      <c r="A1204" s="241" t="s">
        <v>130</v>
      </c>
      <c r="B1204" s="329">
        <v>1407</v>
      </c>
      <c r="C1204" s="243" t="s">
        <v>362</v>
      </c>
      <c r="D1204" s="188">
        <v>6041</v>
      </c>
      <c r="E1204" s="270" t="s">
        <v>170</v>
      </c>
      <c r="F1204" s="267"/>
      <c r="G1204" s="242"/>
      <c r="H1204" s="242"/>
      <c r="I1204" s="242"/>
      <c r="J1204" s="315"/>
      <c r="K1204" s="614">
        <f t="shared" si="38"/>
        <v>0</v>
      </c>
      <c r="L1204" s="614">
        <f t="shared" si="37"/>
        <v>0</v>
      </c>
    </row>
    <row r="1205" spans="1:12" ht="18" customHeight="1">
      <c r="A1205" s="241" t="s">
        <v>130</v>
      </c>
      <c r="B1205" s="329">
        <v>1407</v>
      </c>
      <c r="C1205" s="243" t="s">
        <v>362</v>
      </c>
      <c r="D1205" s="188">
        <v>6122</v>
      </c>
      <c r="E1205" s="235" t="s">
        <v>582</v>
      </c>
      <c r="F1205" s="267"/>
      <c r="G1205" s="242"/>
      <c r="H1205" s="242"/>
      <c r="I1205" s="242"/>
      <c r="J1205" s="315"/>
      <c r="K1205" s="614">
        <f t="shared" si="38"/>
        <v>0</v>
      </c>
      <c r="L1205" s="614">
        <f t="shared" si="37"/>
        <v>0</v>
      </c>
    </row>
    <row r="1206" spans="1:12" ht="18" customHeight="1">
      <c r="A1206" s="241" t="s">
        <v>130</v>
      </c>
      <c r="B1206" s="329">
        <v>1407</v>
      </c>
      <c r="C1206" s="243" t="s">
        <v>362</v>
      </c>
      <c r="D1206" s="188">
        <v>6133</v>
      </c>
      <c r="E1206" s="270" t="s">
        <v>110</v>
      </c>
      <c r="F1206" s="267"/>
      <c r="G1206" s="242"/>
      <c r="H1206" s="242"/>
      <c r="I1206" s="242"/>
      <c r="J1206" s="98"/>
      <c r="K1206" s="614">
        <f t="shared" si="38"/>
        <v>0</v>
      </c>
      <c r="L1206" s="614">
        <f t="shared" si="37"/>
        <v>0</v>
      </c>
    </row>
    <row r="1207" spans="1:12" ht="18" customHeight="1">
      <c r="A1207" s="241" t="s">
        <v>130</v>
      </c>
      <c r="B1207" s="329">
        <v>1407</v>
      </c>
      <c r="C1207" s="243" t="s">
        <v>362</v>
      </c>
      <c r="D1207" s="188">
        <v>6152</v>
      </c>
      <c r="E1207" s="270" t="s">
        <v>263</v>
      </c>
      <c r="F1207" s="267"/>
      <c r="G1207" s="242"/>
      <c r="H1207" s="242"/>
      <c r="I1207" s="242"/>
      <c r="J1207" s="98"/>
      <c r="K1207" s="614">
        <f t="shared" si="38"/>
        <v>0</v>
      </c>
      <c r="L1207" s="614">
        <f t="shared" si="37"/>
        <v>0</v>
      </c>
    </row>
    <row r="1208" spans="1:12" ht="18" customHeight="1">
      <c r="A1208" s="241" t="s">
        <v>130</v>
      </c>
      <c r="B1208" s="329">
        <v>1407</v>
      </c>
      <c r="C1208" s="243" t="s">
        <v>362</v>
      </c>
      <c r="D1208" s="188">
        <v>6112</v>
      </c>
      <c r="E1208" s="270" t="s">
        <v>236</v>
      </c>
      <c r="F1208" s="267"/>
      <c r="G1208" s="242"/>
      <c r="H1208" s="242"/>
      <c r="I1208" s="242"/>
      <c r="J1208" s="315"/>
      <c r="K1208" s="614">
        <f t="shared" si="38"/>
        <v>0</v>
      </c>
      <c r="L1208" s="614">
        <f t="shared" si="37"/>
        <v>0</v>
      </c>
    </row>
    <row r="1209" spans="1:12" ht="18" customHeight="1">
      <c r="A1209" s="241" t="s">
        <v>130</v>
      </c>
      <c r="B1209" s="329">
        <v>1407</v>
      </c>
      <c r="C1209" s="243" t="s">
        <v>362</v>
      </c>
      <c r="D1209" s="188">
        <v>6175</v>
      </c>
      <c r="E1209" s="270" t="s">
        <v>13</v>
      </c>
      <c r="F1209" s="267"/>
      <c r="G1209" s="242"/>
      <c r="H1209" s="98"/>
      <c r="I1209" s="242"/>
      <c r="J1209" s="315"/>
      <c r="K1209" s="614">
        <f t="shared" si="38"/>
        <v>0</v>
      </c>
      <c r="L1209" s="614">
        <f t="shared" si="37"/>
        <v>0</v>
      </c>
    </row>
    <row r="1210" spans="1:12" ht="18" customHeight="1">
      <c r="A1210" s="241" t="s">
        <v>130</v>
      </c>
      <c r="B1210" s="329">
        <v>1407</v>
      </c>
      <c r="C1210" s="243" t="s">
        <v>362</v>
      </c>
      <c r="D1210" s="188">
        <v>6173</v>
      </c>
      <c r="E1210" s="192" t="s">
        <v>19</v>
      </c>
      <c r="F1210" s="226"/>
      <c r="G1210" s="242">
        <v>16754325</v>
      </c>
      <c r="H1210" s="242">
        <v>4188581</v>
      </c>
      <c r="I1210" s="242">
        <f>16975000*(1-1.3%)</f>
        <v>16754325</v>
      </c>
      <c r="J1210" s="315"/>
      <c r="K1210" s="614">
        <f t="shared" si="38"/>
        <v>16754325</v>
      </c>
      <c r="L1210" s="614">
        <f t="shared" si="37"/>
        <v>12565744</v>
      </c>
    </row>
    <row r="1211" spans="1:12" ht="18" customHeight="1">
      <c r="A1211" s="241" t="s">
        <v>130</v>
      </c>
      <c r="B1211" s="329">
        <v>1407</v>
      </c>
      <c r="C1211" s="243" t="s">
        <v>362</v>
      </c>
      <c r="D1211" s="592">
        <v>6311</v>
      </c>
      <c r="E1211" s="194" t="s">
        <v>271</v>
      </c>
      <c r="F1211" s="593"/>
      <c r="G1211" s="242"/>
      <c r="H1211" s="242">
        <v>6000000</v>
      </c>
      <c r="I1211" s="242"/>
      <c r="J1211" s="581">
        <f>SUBTOTAL(109,J1200:J1210)</f>
        <v>0</v>
      </c>
      <c r="K1211" s="614">
        <f t="shared" si="38"/>
        <v>0</v>
      </c>
      <c r="L1211" s="614">
        <f t="shared" si="37"/>
        <v>-6000000</v>
      </c>
    </row>
    <row r="1212" spans="1:12" ht="18" customHeight="1">
      <c r="A1212" s="241" t="s">
        <v>130</v>
      </c>
      <c r="B1212" s="329">
        <v>1407</v>
      </c>
      <c r="C1212" s="243" t="s">
        <v>362</v>
      </c>
      <c r="D1212" s="257" t="s">
        <v>20</v>
      </c>
      <c r="E1212" s="267"/>
      <c r="F1212" s="267"/>
      <c r="G1212" s="98">
        <f>SUBTOTAL(109,G1201:G1210)</f>
        <v>16754325</v>
      </c>
      <c r="H1212" s="98">
        <f>SUBTOTAL(109,H1201:H1211)</f>
        <v>10188581</v>
      </c>
      <c r="I1212" s="98">
        <f>SUBTOTAL(109,I1201:I1211)</f>
        <v>16754325</v>
      </c>
      <c r="J1212" s="315"/>
      <c r="K1212" s="614">
        <f t="shared" si="38"/>
        <v>16754325</v>
      </c>
      <c r="L1212" s="614">
        <f t="shared" si="37"/>
        <v>6565744</v>
      </c>
    </row>
    <row r="1213" spans="1:12" ht="18" customHeight="1">
      <c r="A1213" s="241" t="s">
        <v>130</v>
      </c>
      <c r="B1213" s="329">
        <v>1207</v>
      </c>
      <c r="C1213" s="243" t="s">
        <v>501</v>
      </c>
      <c r="D1213" s="254" t="s">
        <v>137</v>
      </c>
      <c r="E1213" s="226"/>
      <c r="F1213" s="226"/>
      <c r="G1213" s="294"/>
      <c r="H1213" s="294"/>
      <c r="I1213" s="294"/>
      <c r="J1213" s="315"/>
      <c r="K1213" s="614">
        <f t="shared" si="38"/>
        <v>0</v>
      </c>
      <c r="L1213" s="614">
        <f t="shared" si="37"/>
        <v>0</v>
      </c>
    </row>
    <row r="1214" spans="1:12" ht="18" customHeight="1">
      <c r="A1214" s="241" t="s">
        <v>130</v>
      </c>
      <c r="B1214" s="329">
        <v>1207</v>
      </c>
      <c r="C1214" s="243" t="s">
        <v>501</v>
      </c>
      <c r="D1214" s="188">
        <v>6611</v>
      </c>
      <c r="E1214" s="192" t="s">
        <v>6</v>
      </c>
      <c r="F1214" s="226">
        <v>11</v>
      </c>
      <c r="G1214" s="294">
        <v>24183200</v>
      </c>
      <c r="H1214" s="294">
        <v>23078199.649999995</v>
      </c>
      <c r="I1214" s="294">
        <v>24183200</v>
      </c>
      <c r="J1214" s="315"/>
      <c r="K1214" s="614">
        <f t="shared" si="38"/>
        <v>24183200</v>
      </c>
      <c r="L1214" s="614">
        <f t="shared" si="37"/>
        <v>1105000.3500000052</v>
      </c>
    </row>
    <row r="1215" spans="1:12" ht="18" customHeight="1">
      <c r="A1215" s="241" t="s">
        <v>130</v>
      </c>
      <c r="B1215" s="329">
        <v>1207</v>
      </c>
      <c r="C1215" s="243" t="s">
        <v>501</v>
      </c>
      <c r="D1215" s="187">
        <v>6311</v>
      </c>
      <c r="E1215" s="194" t="s">
        <v>271</v>
      </c>
      <c r="F1215" s="253"/>
      <c r="G1215" s="294">
        <v>6000000</v>
      </c>
      <c r="H1215" s="294"/>
      <c r="I1215" s="294">
        <v>6000000</v>
      </c>
      <c r="J1215" s="315"/>
      <c r="K1215" s="614">
        <f t="shared" si="38"/>
        <v>6000000</v>
      </c>
      <c r="L1215" s="614">
        <f t="shared" si="37"/>
        <v>6000000</v>
      </c>
    </row>
    <row r="1216" spans="1:12" ht="18" customHeight="1">
      <c r="A1216" s="241" t="s">
        <v>130</v>
      </c>
      <c r="B1216" s="329">
        <v>1207</v>
      </c>
      <c r="C1216" s="243" t="s">
        <v>501</v>
      </c>
      <c r="D1216" s="187">
        <v>6452</v>
      </c>
      <c r="E1216" s="194" t="s">
        <v>182</v>
      </c>
      <c r="F1216" s="253"/>
      <c r="G1216" s="294"/>
      <c r="H1216" s="294"/>
      <c r="I1216" s="294"/>
      <c r="J1216" s="315"/>
      <c r="K1216" s="614">
        <f t="shared" si="38"/>
        <v>0</v>
      </c>
      <c r="L1216" s="614">
        <f t="shared" si="37"/>
        <v>0</v>
      </c>
    </row>
    <row r="1217" spans="1:12" ht="18" customHeight="1">
      <c r="A1217" s="241" t="s">
        <v>130</v>
      </c>
      <c r="B1217" s="329">
        <v>1207</v>
      </c>
      <c r="C1217" s="243" t="s">
        <v>501</v>
      </c>
      <c r="D1217" s="187">
        <v>2115</v>
      </c>
      <c r="E1217" s="253" t="s">
        <v>570</v>
      </c>
      <c r="F1217" s="253"/>
      <c r="G1217" s="294">
        <v>3000000000</v>
      </c>
      <c r="H1217" s="338"/>
      <c r="I1217" s="294"/>
      <c r="J1217" s="315"/>
      <c r="K1217" s="614">
        <f t="shared" si="38"/>
        <v>0</v>
      </c>
      <c r="L1217" s="614">
        <f t="shared" si="37"/>
        <v>0</v>
      </c>
    </row>
    <row r="1218" spans="1:12" ht="18" customHeight="1">
      <c r="A1218" s="241" t="s">
        <v>130</v>
      </c>
      <c r="B1218" s="329">
        <v>1207</v>
      </c>
      <c r="C1218" s="243" t="s">
        <v>501</v>
      </c>
      <c r="D1218" s="257" t="s">
        <v>20</v>
      </c>
      <c r="E1218" s="226"/>
      <c r="F1218" s="98">
        <f>SUBTOTAL(109,F1214:F1215)</f>
        <v>11</v>
      </c>
      <c r="G1218" s="98">
        <f>SUBTOTAL(109,G1214:G1217)</f>
        <v>3030183200</v>
      </c>
      <c r="H1218" s="98">
        <f>SUBTOTAL(109,H1214:H1217)</f>
        <v>23078199.649999995</v>
      </c>
      <c r="I1218" s="98">
        <f>SUBTOTAL(109,I1214:I1217)</f>
        <v>30183200</v>
      </c>
      <c r="J1218" s="581">
        <f>SUBTOTAL(109,J1214:J1217)</f>
        <v>0</v>
      </c>
      <c r="K1218" s="614">
        <f t="shared" si="38"/>
        <v>30183200</v>
      </c>
      <c r="L1218" s="614">
        <f t="shared" si="37"/>
        <v>7105000.350000005</v>
      </c>
    </row>
    <row r="1219" spans="1:12" ht="18" customHeight="1">
      <c r="A1219" s="241" t="s">
        <v>130</v>
      </c>
      <c r="B1219" s="329">
        <v>1208</v>
      </c>
      <c r="C1219" s="243" t="s">
        <v>429</v>
      </c>
      <c r="D1219" s="255" t="s">
        <v>138</v>
      </c>
      <c r="E1219" s="227"/>
      <c r="F1219" s="227"/>
      <c r="G1219" s="242"/>
      <c r="H1219" s="242"/>
      <c r="I1219" s="242"/>
      <c r="J1219" s="315"/>
      <c r="K1219" s="614">
        <f t="shared" si="38"/>
        <v>0</v>
      </c>
      <c r="L1219" s="614">
        <f t="shared" si="37"/>
        <v>0</v>
      </c>
    </row>
    <row r="1220" spans="1:12" ht="18" customHeight="1">
      <c r="A1220" s="241" t="s">
        <v>130</v>
      </c>
      <c r="B1220" s="329">
        <v>1208</v>
      </c>
      <c r="C1220" s="243" t="s">
        <v>429</v>
      </c>
      <c r="D1220" s="188">
        <v>6611</v>
      </c>
      <c r="E1220" s="192" t="s">
        <v>6</v>
      </c>
      <c r="F1220" s="226"/>
      <c r="G1220" s="242"/>
      <c r="H1220" s="242"/>
      <c r="I1220" s="242"/>
      <c r="J1220" s="315"/>
      <c r="K1220" s="614">
        <f t="shared" si="38"/>
        <v>0</v>
      </c>
      <c r="L1220" s="614">
        <f t="shared" si="37"/>
        <v>0</v>
      </c>
    </row>
    <row r="1221" spans="1:12" ht="18" customHeight="1">
      <c r="A1221" s="241" t="s">
        <v>130</v>
      </c>
      <c r="B1221" s="329">
        <v>1208</v>
      </c>
      <c r="C1221" s="243" t="s">
        <v>429</v>
      </c>
      <c r="D1221" s="187">
        <v>6311</v>
      </c>
      <c r="E1221" s="194" t="s">
        <v>271</v>
      </c>
      <c r="F1221" s="253"/>
      <c r="G1221" s="294">
        <v>12600000</v>
      </c>
      <c r="H1221" s="294">
        <v>6300000</v>
      </c>
      <c r="I1221" s="294">
        <v>12600000</v>
      </c>
      <c r="J1221" s="315"/>
      <c r="K1221" s="614">
        <f t="shared" si="38"/>
        <v>12600000</v>
      </c>
      <c r="L1221" s="614">
        <f t="shared" si="37"/>
        <v>6300000</v>
      </c>
    </row>
    <row r="1222" spans="1:12" ht="18" customHeight="1">
      <c r="A1222" s="241" t="s">
        <v>130</v>
      </c>
      <c r="B1222" s="329">
        <v>1208</v>
      </c>
      <c r="C1222" s="243" t="s">
        <v>429</v>
      </c>
      <c r="D1222" s="257" t="s">
        <v>20</v>
      </c>
      <c r="E1222" s="226"/>
      <c r="F1222" s="226"/>
      <c r="G1222" s="98">
        <f>SUBTOTAL(109,G1221:G1221)</f>
        <v>12600000</v>
      </c>
      <c r="H1222" s="98">
        <f>SUBTOTAL(109,H1221:H1221)</f>
        <v>6300000</v>
      </c>
      <c r="I1222" s="98">
        <f>SUBTOTAL(109,I1221:I1221)</f>
        <v>12600000</v>
      </c>
      <c r="J1222" s="581">
        <f>SUBTOTAL(109,J1221:J1221)</f>
        <v>0</v>
      </c>
      <c r="K1222" s="614">
        <f t="shared" si="38"/>
        <v>12600000</v>
      </c>
      <c r="L1222" s="614">
        <f t="shared" si="37"/>
        <v>6300000</v>
      </c>
    </row>
    <row r="1223" spans="1:12" ht="18" customHeight="1">
      <c r="A1223" s="241" t="s">
        <v>130</v>
      </c>
      <c r="B1223" s="273">
        <v>1219</v>
      </c>
      <c r="C1223" s="243" t="s">
        <v>438</v>
      </c>
      <c r="D1223" s="254" t="s">
        <v>148</v>
      </c>
      <c r="E1223" s="226"/>
      <c r="F1223" s="226"/>
      <c r="G1223" s="242"/>
      <c r="H1223" s="242"/>
      <c r="I1223" s="242"/>
      <c r="J1223" s="315"/>
      <c r="K1223" s="614">
        <f t="shared" si="38"/>
        <v>0</v>
      </c>
      <c r="L1223" s="614">
        <f aca="true" t="shared" si="39" ref="L1223:L1286">K1223-H1223</f>
        <v>0</v>
      </c>
    </row>
    <row r="1224" spans="1:12" ht="18" customHeight="1">
      <c r="A1224" s="241" t="s">
        <v>130</v>
      </c>
      <c r="B1224" s="329">
        <v>1219</v>
      </c>
      <c r="C1224" s="243" t="s">
        <v>438</v>
      </c>
      <c r="D1224" s="188">
        <v>6611</v>
      </c>
      <c r="E1224" s="192" t="s">
        <v>6</v>
      </c>
      <c r="F1224" s="226">
        <v>4</v>
      </c>
      <c r="G1224" s="242">
        <v>10516800</v>
      </c>
      <c r="H1224" s="242">
        <v>9400466.940000001</v>
      </c>
      <c r="I1224" s="242">
        <v>10516800</v>
      </c>
      <c r="J1224" s="315"/>
      <c r="K1224" s="614">
        <f t="shared" si="38"/>
        <v>10516800</v>
      </c>
      <c r="L1224" s="614">
        <f t="shared" si="39"/>
        <v>1116333.0599999987</v>
      </c>
    </row>
    <row r="1225" spans="1:12" ht="18" customHeight="1">
      <c r="A1225" s="241" t="s">
        <v>130</v>
      </c>
      <c r="B1225" s="329">
        <v>1219</v>
      </c>
      <c r="C1225" s="243" t="s">
        <v>438</v>
      </c>
      <c r="D1225" s="188">
        <v>60100</v>
      </c>
      <c r="E1225" s="192" t="s">
        <v>7</v>
      </c>
      <c r="F1225" s="226"/>
      <c r="G1225" s="294">
        <v>844800</v>
      </c>
      <c r="H1225" s="294"/>
      <c r="I1225" s="294">
        <f>844800</f>
        <v>844800</v>
      </c>
      <c r="J1225" s="315"/>
      <c r="K1225" s="614">
        <f t="shared" si="38"/>
        <v>844800</v>
      </c>
      <c r="L1225" s="614">
        <f t="shared" si="39"/>
        <v>844800</v>
      </c>
    </row>
    <row r="1226" spans="1:12" ht="18" customHeight="1">
      <c r="A1226" s="241" t="s">
        <v>130</v>
      </c>
      <c r="B1226" s="329">
        <v>1219</v>
      </c>
      <c r="C1226" s="243" t="s">
        <v>438</v>
      </c>
      <c r="D1226" s="188">
        <v>60101</v>
      </c>
      <c r="E1226" s="192" t="s">
        <v>297</v>
      </c>
      <c r="F1226" s="226"/>
      <c r="G1226" s="338"/>
      <c r="H1226" s="338"/>
      <c r="I1226" s="338"/>
      <c r="J1226" s="315"/>
      <c r="K1226" s="614">
        <f t="shared" si="38"/>
        <v>0</v>
      </c>
      <c r="L1226" s="614">
        <f t="shared" si="39"/>
        <v>0</v>
      </c>
    </row>
    <row r="1227" spans="1:12" ht="18" customHeight="1">
      <c r="A1227" s="241" t="s">
        <v>130</v>
      </c>
      <c r="B1227" s="329">
        <v>1219</v>
      </c>
      <c r="C1227" s="243" t="s">
        <v>438</v>
      </c>
      <c r="D1227" s="188">
        <v>6122</v>
      </c>
      <c r="E1227" s="235" t="s">
        <v>582</v>
      </c>
      <c r="F1227" s="226"/>
      <c r="G1227" s="294">
        <v>540000</v>
      </c>
      <c r="H1227" s="294"/>
      <c r="I1227" s="294">
        <f>540000</f>
        <v>540000</v>
      </c>
      <c r="J1227" s="315"/>
      <c r="K1227" s="614">
        <f t="shared" si="38"/>
        <v>540000</v>
      </c>
      <c r="L1227" s="614">
        <f t="shared" si="39"/>
        <v>540000</v>
      </c>
    </row>
    <row r="1228" spans="1:12" ht="18" customHeight="1">
      <c r="A1228" s="241" t="s">
        <v>130</v>
      </c>
      <c r="B1228" s="329">
        <v>1219</v>
      </c>
      <c r="C1228" s="243" t="s">
        <v>438</v>
      </c>
      <c r="D1228" s="188">
        <v>2121</v>
      </c>
      <c r="E1228" s="192" t="s">
        <v>590</v>
      </c>
      <c r="F1228" s="226"/>
      <c r="G1228" s="294"/>
      <c r="H1228" s="294"/>
      <c r="I1228" s="294"/>
      <c r="J1228" s="581"/>
      <c r="K1228" s="614">
        <f t="shared" si="38"/>
        <v>0</v>
      </c>
      <c r="L1228" s="614">
        <f t="shared" si="39"/>
        <v>0</v>
      </c>
    </row>
    <row r="1229" spans="1:12" ht="15.75" customHeight="1">
      <c r="A1229" s="241" t="s">
        <v>130</v>
      </c>
      <c r="B1229" s="273">
        <v>1219</v>
      </c>
      <c r="C1229" s="243" t="s">
        <v>438</v>
      </c>
      <c r="D1229" s="257" t="s">
        <v>20</v>
      </c>
      <c r="E1229" s="226"/>
      <c r="F1229" s="98">
        <f>SUBTOTAL(109,F1224:F1227)</f>
        <v>4</v>
      </c>
      <c r="G1229" s="98">
        <f>SUBTOTAL(109,G1224:G1227)</f>
        <v>11901600</v>
      </c>
      <c r="H1229" s="98">
        <f>SUBTOTAL(109,H1224:H1227)</f>
        <v>9400466.940000001</v>
      </c>
      <c r="I1229" s="98">
        <f>SUBTOTAL(109,I1224:I1227)</f>
        <v>11901600</v>
      </c>
      <c r="J1229" s="581">
        <f>SUBTOTAL(109,J1224:J1227)</f>
        <v>0</v>
      </c>
      <c r="K1229" s="614">
        <f>I1229+J1229</f>
        <v>11901600</v>
      </c>
      <c r="L1229" s="614">
        <f t="shared" si="39"/>
        <v>2501133.0599999987</v>
      </c>
    </row>
    <row r="1230" spans="1:12" ht="15.75" customHeight="1">
      <c r="A1230" s="241" t="s">
        <v>130</v>
      </c>
      <c r="B1230" s="309" t="s">
        <v>72</v>
      </c>
      <c r="C1230" s="316"/>
      <c r="D1230" s="188"/>
      <c r="E1230" s="267"/>
      <c r="F1230" s="98">
        <f>F1229+F1222+F1218+F1212+F1199+F1189+F1176+F1164+F1150+F1143</f>
        <v>42</v>
      </c>
      <c r="G1230" s="98">
        <f>G1229+G1222+G1218+G1212+G1199+G1189+G1176+G1164+G1150+G1143</f>
        <v>3170215875</v>
      </c>
      <c r="H1230" s="98">
        <f>H1229+H1222+H1218+H1212+H1199+H1189+H1176+H1164+H1150+H1143</f>
        <v>136518648.15</v>
      </c>
      <c r="I1230" s="98">
        <f>I1229+I1222+I1218+I1212+I1199+I1189+I1176+I1164+I1150+I1143</f>
        <v>170215875</v>
      </c>
      <c r="J1230" s="581">
        <f>J1229+J1222+J1218+J1212+J1199+J1189+J1176+J1164+J1150+J1143</f>
        <v>0</v>
      </c>
      <c r="K1230" s="614">
        <f>I1230+J1230</f>
        <v>170215875</v>
      </c>
      <c r="L1230" s="614">
        <f t="shared" si="39"/>
        <v>33697226.849999994</v>
      </c>
    </row>
    <row r="1231" spans="1:12" ht="15.75" customHeight="1">
      <c r="A1231" s="241" t="s">
        <v>260</v>
      </c>
      <c r="B1231" s="309" t="s">
        <v>165</v>
      </c>
      <c r="C1231" s="309"/>
      <c r="D1231" s="257"/>
      <c r="E1231" s="323"/>
      <c r="F1231" s="267"/>
      <c r="G1231" s="242"/>
      <c r="H1231" s="242"/>
      <c r="I1231" s="242"/>
      <c r="J1231" s="315"/>
      <c r="K1231" s="614"/>
      <c r="L1231" s="614">
        <f t="shared" si="39"/>
        <v>0</v>
      </c>
    </row>
    <row r="1232" spans="1:12" ht="15.75" customHeight="1">
      <c r="A1232" s="241" t="s">
        <v>260</v>
      </c>
      <c r="B1232" s="600">
        <v>1501</v>
      </c>
      <c r="C1232" s="183"/>
      <c r="D1232" s="255" t="s">
        <v>166</v>
      </c>
      <c r="E1232" s="267"/>
      <c r="F1232" s="267"/>
      <c r="G1232" s="242"/>
      <c r="H1232" s="242"/>
      <c r="I1232" s="242"/>
      <c r="J1232" s="315"/>
      <c r="K1232" s="614"/>
      <c r="L1232" s="614">
        <f t="shared" si="39"/>
        <v>0</v>
      </c>
    </row>
    <row r="1233" spans="1:12" ht="15.75" customHeight="1">
      <c r="A1233" s="241" t="s">
        <v>260</v>
      </c>
      <c r="B1233" s="600">
        <v>1501</v>
      </c>
      <c r="C1233" s="183"/>
      <c r="D1233" s="188">
        <v>6611</v>
      </c>
      <c r="E1233" s="192" t="s">
        <v>6</v>
      </c>
      <c r="F1233" s="226"/>
      <c r="G1233" s="242"/>
      <c r="H1233" s="242"/>
      <c r="I1233" s="242"/>
      <c r="J1233" s="315"/>
      <c r="K1233" s="614"/>
      <c r="L1233" s="614">
        <f t="shared" si="39"/>
        <v>0</v>
      </c>
    </row>
    <row r="1234" spans="1:12" ht="15.75" customHeight="1">
      <c r="A1234" s="241" t="s">
        <v>260</v>
      </c>
      <c r="B1234" s="600">
        <v>1501</v>
      </c>
      <c r="C1234" s="183"/>
      <c r="D1234" s="188">
        <v>60100</v>
      </c>
      <c r="E1234" s="192" t="s">
        <v>7</v>
      </c>
      <c r="F1234" s="226"/>
      <c r="G1234" s="242"/>
      <c r="H1234" s="242"/>
      <c r="I1234" s="242"/>
      <c r="J1234" s="315"/>
      <c r="K1234" s="614"/>
      <c r="L1234" s="614">
        <f t="shared" si="39"/>
        <v>0</v>
      </c>
    </row>
    <row r="1235" spans="1:12" ht="15.75" customHeight="1">
      <c r="A1235" s="241" t="s">
        <v>260</v>
      </c>
      <c r="B1235" s="600">
        <v>1501</v>
      </c>
      <c r="C1235" s="183"/>
      <c r="D1235" s="188">
        <v>6122</v>
      </c>
      <c r="E1235" s="235" t="s">
        <v>582</v>
      </c>
      <c r="F1235" s="253"/>
      <c r="G1235" s="242"/>
      <c r="H1235" s="242"/>
      <c r="I1235" s="242"/>
      <c r="J1235" s="315"/>
      <c r="K1235" s="614"/>
      <c r="L1235" s="614">
        <f t="shared" si="39"/>
        <v>0</v>
      </c>
    </row>
    <row r="1236" spans="1:12" ht="15.75" customHeight="1">
      <c r="A1236" s="241" t="s">
        <v>260</v>
      </c>
      <c r="B1236" s="600">
        <v>1501</v>
      </c>
      <c r="C1236" s="183"/>
      <c r="D1236" s="188">
        <v>6112</v>
      </c>
      <c r="E1236" s="192" t="s">
        <v>12</v>
      </c>
      <c r="F1236" s="226"/>
      <c r="G1236" s="242"/>
      <c r="H1236" s="242"/>
      <c r="I1236" s="242"/>
      <c r="J1236" s="315"/>
      <c r="K1236" s="614"/>
      <c r="L1236" s="614">
        <f t="shared" si="39"/>
        <v>0</v>
      </c>
    </row>
    <row r="1237" spans="1:12" ht="15.75" customHeight="1">
      <c r="A1237" s="241" t="s">
        <v>260</v>
      </c>
      <c r="B1237" s="600">
        <v>1501</v>
      </c>
      <c r="C1237" s="183"/>
      <c r="D1237" s="187">
        <v>6175</v>
      </c>
      <c r="E1237" s="194" t="s">
        <v>13</v>
      </c>
      <c r="F1237" s="253"/>
      <c r="G1237" s="242"/>
      <c r="H1237" s="242"/>
      <c r="I1237" s="242"/>
      <c r="J1237" s="315"/>
      <c r="K1237" s="614"/>
      <c r="L1237" s="614">
        <f t="shared" si="39"/>
        <v>0</v>
      </c>
    </row>
    <row r="1238" spans="1:12" ht="15.75" customHeight="1">
      <c r="A1238" s="241" t="s">
        <v>260</v>
      </c>
      <c r="B1238" s="600">
        <v>1501</v>
      </c>
      <c r="C1238" s="183"/>
      <c r="D1238" s="257" t="s">
        <v>20</v>
      </c>
      <c r="E1238" s="270"/>
      <c r="F1238" s="267"/>
      <c r="G1238" s="242"/>
      <c r="H1238" s="242"/>
      <c r="I1238" s="242"/>
      <c r="J1238" s="315"/>
      <c r="K1238" s="614"/>
      <c r="L1238" s="614">
        <f t="shared" si="39"/>
        <v>0</v>
      </c>
    </row>
    <row r="1239" spans="1:12" ht="15.75" customHeight="1">
      <c r="A1239" s="241" t="s">
        <v>260</v>
      </c>
      <c r="B1239" s="312" t="s">
        <v>72</v>
      </c>
      <c r="C1239" s="328"/>
      <c r="D1239" s="188"/>
      <c r="E1239" s="226"/>
      <c r="F1239" s="226"/>
      <c r="G1239" s="242"/>
      <c r="H1239" s="242"/>
      <c r="I1239" s="242"/>
      <c r="J1239" s="315"/>
      <c r="K1239" s="614"/>
      <c r="L1239" s="614">
        <f t="shared" si="39"/>
        <v>0</v>
      </c>
    </row>
    <row r="1240" spans="1:12" ht="15.75" customHeight="1">
      <c r="A1240" s="241" t="s">
        <v>167</v>
      </c>
      <c r="B1240" s="317" t="s">
        <v>168</v>
      </c>
      <c r="C1240" s="318"/>
      <c r="D1240" s="257"/>
      <c r="E1240" s="227"/>
      <c r="F1240" s="227"/>
      <c r="G1240" s="98"/>
      <c r="H1240" s="98"/>
      <c r="I1240" s="98"/>
      <c r="J1240" s="315"/>
      <c r="K1240" s="614"/>
      <c r="L1240" s="614">
        <f t="shared" si="39"/>
        <v>0</v>
      </c>
    </row>
    <row r="1241" spans="1:12" ht="15.75" customHeight="1">
      <c r="A1241" s="241" t="s">
        <v>167</v>
      </c>
      <c r="B1241" s="600">
        <v>9998</v>
      </c>
      <c r="C1241" s="183"/>
      <c r="D1241" s="254" t="s">
        <v>169</v>
      </c>
      <c r="E1241" s="226"/>
      <c r="F1241" s="226"/>
      <c r="G1241" s="242"/>
      <c r="H1241" s="242"/>
      <c r="I1241" s="242"/>
      <c r="J1241" s="315"/>
      <c r="K1241" s="614">
        <f aca="true" t="shared" si="40" ref="K1241:K1259">I1241+J1241</f>
        <v>0</v>
      </c>
      <c r="L1241" s="614">
        <f t="shared" si="39"/>
        <v>0</v>
      </c>
    </row>
    <row r="1242" spans="1:12" ht="15.75" customHeight="1">
      <c r="A1242" s="241" t="s">
        <v>167</v>
      </c>
      <c r="B1242" s="600">
        <v>9998</v>
      </c>
      <c r="C1242" s="183" t="s">
        <v>465</v>
      </c>
      <c r="D1242" s="188">
        <v>6611</v>
      </c>
      <c r="E1242" s="67" t="s">
        <v>6</v>
      </c>
      <c r="F1242" s="319"/>
      <c r="G1242" s="202">
        <v>15302954</v>
      </c>
      <c r="H1242" s="202">
        <v>150799757</v>
      </c>
      <c r="I1242" s="202">
        <v>15302954</v>
      </c>
      <c r="J1242" s="315">
        <f>222568708-55000000</f>
        <v>167568708</v>
      </c>
      <c r="K1242" s="614">
        <f t="shared" si="40"/>
        <v>182871662</v>
      </c>
      <c r="L1242" s="614">
        <f t="shared" si="39"/>
        <v>32071905</v>
      </c>
    </row>
    <row r="1243" spans="1:12" ht="15.75" customHeight="1">
      <c r="A1243" s="241" t="s">
        <v>167</v>
      </c>
      <c r="B1243" s="600">
        <v>9998</v>
      </c>
      <c r="C1243" s="183" t="s">
        <v>465</v>
      </c>
      <c r="D1243" s="188">
        <v>6643</v>
      </c>
      <c r="E1243" s="67" t="s">
        <v>683</v>
      </c>
      <c r="F1243" s="319"/>
      <c r="G1243" s="202"/>
      <c r="H1243" s="338"/>
      <c r="I1243" s="202"/>
      <c r="J1243" s="315"/>
      <c r="K1243" s="614">
        <f t="shared" si="40"/>
        <v>0</v>
      </c>
      <c r="L1243" s="614">
        <f t="shared" si="39"/>
        <v>0</v>
      </c>
    </row>
    <row r="1244" spans="1:12" ht="15.75" customHeight="1">
      <c r="A1244" s="241" t="s">
        <v>167</v>
      </c>
      <c r="B1244" s="600">
        <v>9998</v>
      </c>
      <c r="C1244" s="183" t="s">
        <v>503</v>
      </c>
      <c r="D1244" s="187">
        <v>6682</v>
      </c>
      <c r="E1244" s="258" t="s">
        <v>262</v>
      </c>
      <c r="F1244" s="259"/>
      <c r="G1244" s="202">
        <f>171567020</f>
        <v>171567020</v>
      </c>
      <c r="H1244" s="320">
        <v>10092146</v>
      </c>
      <c r="I1244" s="202">
        <f>171567020-5962402</f>
        <v>165604618</v>
      </c>
      <c r="J1244" s="315">
        <v>-152197066</v>
      </c>
      <c r="K1244" s="614">
        <f t="shared" si="40"/>
        <v>13407552</v>
      </c>
      <c r="L1244" s="614">
        <f t="shared" si="39"/>
        <v>3315406</v>
      </c>
    </row>
    <row r="1245" spans="1:12" ht="15.75" customHeight="1">
      <c r="A1245" s="241" t="s">
        <v>167</v>
      </c>
      <c r="B1245" s="600">
        <v>9998</v>
      </c>
      <c r="C1245" s="183" t="s">
        <v>509</v>
      </c>
      <c r="D1245" s="187">
        <v>6683</v>
      </c>
      <c r="E1245" s="258" t="s">
        <v>326</v>
      </c>
      <c r="F1245" s="259"/>
      <c r="G1245" s="202">
        <v>108099024</v>
      </c>
      <c r="H1245" s="320">
        <v>26589350</v>
      </c>
      <c r="I1245" s="202">
        <v>108099024</v>
      </c>
      <c r="J1245" s="315">
        <v>-70371642</v>
      </c>
      <c r="K1245" s="614">
        <f t="shared" si="40"/>
        <v>37727382</v>
      </c>
      <c r="L1245" s="614">
        <f t="shared" si="39"/>
        <v>11138032</v>
      </c>
    </row>
    <row r="1246" spans="1:12" ht="15.75" customHeight="1">
      <c r="A1246" s="241" t="s">
        <v>167</v>
      </c>
      <c r="B1246" s="600">
        <v>9998</v>
      </c>
      <c r="C1246" s="183" t="s">
        <v>509</v>
      </c>
      <c r="D1246" s="187">
        <v>6041</v>
      </c>
      <c r="E1246" s="258" t="s">
        <v>170</v>
      </c>
      <c r="F1246" s="259"/>
      <c r="G1246" s="202">
        <v>500000000</v>
      </c>
      <c r="H1246" s="202">
        <v>418505550</v>
      </c>
      <c r="I1246" s="202">
        <v>500000000</v>
      </c>
      <c r="J1246" s="315"/>
      <c r="K1246" s="614">
        <f t="shared" si="40"/>
        <v>500000000</v>
      </c>
      <c r="L1246" s="614">
        <f t="shared" si="39"/>
        <v>81494450</v>
      </c>
    </row>
    <row r="1247" spans="1:12" ht="15.75" customHeight="1">
      <c r="A1247" s="241" t="s">
        <v>167</v>
      </c>
      <c r="B1247" s="600">
        <v>9998</v>
      </c>
      <c r="C1247" s="183" t="s">
        <v>509</v>
      </c>
      <c r="D1247" s="187">
        <v>6135</v>
      </c>
      <c r="E1247" s="258" t="s">
        <v>171</v>
      </c>
      <c r="F1247" s="259"/>
      <c r="G1247" s="202">
        <v>234410000</v>
      </c>
      <c r="H1247" s="320">
        <v>224109328</v>
      </c>
      <c r="I1247" s="202">
        <v>234410000</v>
      </c>
      <c r="J1247" s="315"/>
      <c r="K1247" s="614">
        <f t="shared" si="40"/>
        <v>234410000</v>
      </c>
      <c r="L1247" s="614">
        <f t="shared" si="39"/>
        <v>10300672</v>
      </c>
    </row>
    <row r="1248" spans="1:12" ht="15.75" customHeight="1">
      <c r="A1248" s="241" t="s">
        <v>167</v>
      </c>
      <c r="B1248" s="600">
        <v>9998</v>
      </c>
      <c r="C1248" s="183" t="s">
        <v>509</v>
      </c>
      <c r="D1248" s="187">
        <v>6051</v>
      </c>
      <c r="E1248" s="258" t="s">
        <v>601</v>
      </c>
      <c r="F1248" s="259"/>
      <c r="G1248" s="202">
        <v>100000000</v>
      </c>
      <c r="H1248" s="351"/>
      <c r="I1248" s="202">
        <v>100000000</v>
      </c>
      <c r="J1248" s="315">
        <v>-20000000</v>
      </c>
      <c r="K1248" s="614">
        <f t="shared" si="40"/>
        <v>80000000</v>
      </c>
      <c r="L1248" s="614">
        <f t="shared" si="39"/>
        <v>80000000</v>
      </c>
    </row>
    <row r="1249" spans="1:12" ht="15.75" customHeight="1">
      <c r="A1249" s="241" t="s">
        <v>167</v>
      </c>
      <c r="B1249" s="600">
        <v>9998</v>
      </c>
      <c r="C1249" s="183" t="s">
        <v>509</v>
      </c>
      <c r="D1249" s="187">
        <v>6052</v>
      </c>
      <c r="E1249" s="258" t="s">
        <v>598</v>
      </c>
      <c r="F1249" s="259"/>
      <c r="G1249" s="202">
        <v>300900000</v>
      </c>
      <c r="H1249" s="202">
        <v>800000</v>
      </c>
      <c r="I1249" s="202">
        <v>300900000</v>
      </c>
      <c r="J1249" s="315"/>
      <c r="K1249" s="614">
        <f t="shared" si="40"/>
        <v>300900000</v>
      </c>
      <c r="L1249" s="614">
        <f t="shared" si="39"/>
        <v>300100000</v>
      </c>
    </row>
    <row r="1250" spans="1:12" ht="15.75" customHeight="1">
      <c r="A1250" s="241" t="s">
        <v>167</v>
      </c>
      <c r="B1250" s="600">
        <v>9998</v>
      </c>
      <c r="C1250" s="183" t="s">
        <v>509</v>
      </c>
      <c r="D1250" s="187">
        <v>6152</v>
      </c>
      <c r="E1250" s="67" t="s">
        <v>256</v>
      </c>
      <c r="F1250" s="319"/>
      <c r="G1250" s="202">
        <v>120000000</v>
      </c>
      <c r="H1250" s="202">
        <v>6792901502</v>
      </c>
      <c r="I1250" s="202">
        <v>1000000000</v>
      </c>
      <c r="J1250" s="315">
        <f>2795000000+1516901502+1481000000</f>
        <v>5792901502</v>
      </c>
      <c r="K1250" s="614">
        <f t="shared" si="40"/>
        <v>6792901502</v>
      </c>
      <c r="L1250" s="614">
        <f t="shared" si="39"/>
        <v>0</v>
      </c>
    </row>
    <row r="1251" spans="1:12" ht="15.75" customHeight="1">
      <c r="A1251" s="241" t="s">
        <v>167</v>
      </c>
      <c r="B1251" s="600">
        <v>9998</v>
      </c>
      <c r="C1251" s="183" t="s">
        <v>509</v>
      </c>
      <c r="D1251" s="188">
        <v>6161</v>
      </c>
      <c r="E1251" s="67" t="s">
        <v>277</v>
      </c>
      <c r="F1251" s="319"/>
      <c r="G1251" s="202">
        <v>259924932.55999997</v>
      </c>
      <c r="H1251" s="202">
        <v>247920462</v>
      </c>
      <c r="I1251" s="202">
        <v>259924932.55999997</v>
      </c>
      <c r="J1251" s="315"/>
      <c r="K1251" s="614">
        <f t="shared" si="40"/>
        <v>259924932.55999997</v>
      </c>
      <c r="L1251" s="614">
        <f t="shared" si="39"/>
        <v>12004470.559999973</v>
      </c>
    </row>
    <row r="1252" spans="1:12" ht="15.75" customHeight="1">
      <c r="A1252" s="241" t="s">
        <v>167</v>
      </c>
      <c r="B1252" s="600">
        <v>9998</v>
      </c>
      <c r="C1252" s="183" t="s">
        <v>509</v>
      </c>
      <c r="D1252" s="188">
        <v>6111</v>
      </c>
      <c r="E1252" s="67" t="s">
        <v>11</v>
      </c>
      <c r="F1252" s="319"/>
      <c r="G1252" s="202">
        <v>768000000</v>
      </c>
      <c r="H1252" s="202">
        <v>1034742833</v>
      </c>
      <c r="I1252" s="202">
        <f>768000000+380227160</f>
        <v>1148227160</v>
      </c>
      <c r="J1252" s="315"/>
      <c r="K1252" s="614">
        <f t="shared" si="40"/>
        <v>1148227160</v>
      </c>
      <c r="L1252" s="614">
        <f t="shared" si="39"/>
        <v>113484327</v>
      </c>
    </row>
    <row r="1253" spans="1:12" ht="15.75" customHeight="1">
      <c r="A1253" s="241" t="s">
        <v>167</v>
      </c>
      <c r="B1253" s="600">
        <v>9998</v>
      </c>
      <c r="C1253" s="183" t="s">
        <v>509</v>
      </c>
      <c r="D1253" s="188">
        <v>6112</v>
      </c>
      <c r="E1253" s="192" t="s">
        <v>172</v>
      </c>
      <c r="F1253" s="226"/>
      <c r="G1253" s="202">
        <v>145474703.176</v>
      </c>
      <c r="H1253" s="202">
        <v>177229187</v>
      </c>
      <c r="I1253" s="202">
        <v>145474703.176</v>
      </c>
      <c r="J1253" s="315">
        <v>35000000</v>
      </c>
      <c r="K1253" s="614">
        <f t="shared" si="40"/>
        <v>180474703.176</v>
      </c>
      <c r="L1253" s="614">
        <f t="shared" si="39"/>
        <v>3245516.175999999</v>
      </c>
    </row>
    <row r="1254" spans="1:12" ht="15.75" customHeight="1">
      <c r="A1254" s="241" t="s">
        <v>167</v>
      </c>
      <c r="B1254" s="600">
        <v>9998</v>
      </c>
      <c r="C1254" s="183" t="s">
        <v>509</v>
      </c>
      <c r="D1254" s="187">
        <v>6171</v>
      </c>
      <c r="E1254" s="258" t="s">
        <v>173</v>
      </c>
      <c r="F1254" s="259"/>
      <c r="G1254" s="202">
        <v>190417219</v>
      </c>
      <c r="H1254" s="320">
        <v>89240000</v>
      </c>
      <c r="I1254" s="202">
        <v>190417219</v>
      </c>
      <c r="J1254" s="315"/>
      <c r="K1254" s="614">
        <f t="shared" si="40"/>
        <v>190417219</v>
      </c>
      <c r="L1254" s="614">
        <f t="shared" si="39"/>
        <v>101177219</v>
      </c>
    </row>
    <row r="1255" spans="1:12" ht="15.75" customHeight="1">
      <c r="A1255" s="241" t="s">
        <v>167</v>
      </c>
      <c r="B1255" s="600">
        <v>9998</v>
      </c>
      <c r="C1255" s="183" t="s">
        <v>509</v>
      </c>
      <c r="D1255" s="187">
        <v>6173</v>
      </c>
      <c r="E1255" s="258" t="s">
        <v>19</v>
      </c>
      <c r="F1255" s="259"/>
      <c r="G1255" s="202">
        <v>31482720.159999996</v>
      </c>
      <c r="H1255" s="320">
        <v>27935850</v>
      </c>
      <c r="I1255" s="202">
        <v>31482720.159999996</v>
      </c>
      <c r="J1255" s="315"/>
      <c r="K1255" s="614">
        <f t="shared" si="40"/>
        <v>31482720.159999996</v>
      </c>
      <c r="L1255" s="614">
        <f t="shared" si="39"/>
        <v>3546870.1599999964</v>
      </c>
    </row>
    <row r="1256" spans="1:12" ht="15.75" customHeight="1">
      <c r="A1256" s="241" t="s">
        <v>167</v>
      </c>
      <c r="B1256" s="600">
        <v>9998</v>
      </c>
      <c r="C1256" s="183" t="s">
        <v>509</v>
      </c>
      <c r="D1256" s="187">
        <v>6013</v>
      </c>
      <c r="E1256" s="258" t="s">
        <v>174</v>
      </c>
      <c r="F1256" s="259"/>
      <c r="G1256" s="202">
        <v>0</v>
      </c>
      <c r="H1256" s="202"/>
      <c r="I1256" s="202">
        <v>0</v>
      </c>
      <c r="J1256" s="315"/>
      <c r="K1256" s="614">
        <f t="shared" si="40"/>
        <v>0</v>
      </c>
      <c r="L1256" s="614">
        <f t="shared" si="39"/>
        <v>0</v>
      </c>
    </row>
    <row r="1257" spans="1:12" ht="15.75" customHeight="1">
      <c r="A1257" s="241" t="s">
        <v>167</v>
      </c>
      <c r="B1257" s="600">
        <v>9998</v>
      </c>
      <c r="C1257" s="183" t="s">
        <v>509</v>
      </c>
      <c r="D1257" s="187">
        <v>6175</v>
      </c>
      <c r="E1257" s="258" t="s">
        <v>13</v>
      </c>
      <c r="F1257" s="259"/>
      <c r="G1257" s="202">
        <v>80000000</v>
      </c>
      <c r="H1257" s="202">
        <v>45145600</v>
      </c>
      <c r="I1257" s="202">
        <v>80000000</v>
      </c>
      <c r="J1257" s="315">
        <v>-35000000</v>
      </c>
      <c r="K1257" s="614">
        <f t="shared" si="40"/>
        <v>45000000</v>
      </c>
      <c r="L1257" s="614">
        <f t="shared" si="39"/>
        <v>-145600</v>
      </c>
    </row>
    <row r="1258" spans="1:12" ht="15.75" customHeight="1">
      <c r="A1258" s="241" t="s">
        <v>167</v>
      </c>
      <c r="B1258" s="600">
        <v>9998</v>
      </c>
      <c r="C1258" s="183" t="s">
        <v>509</v>
      </c>
      <c r="D1258" s="187">
        <v>6311</v>
      </c>
      <c r="E1258" s="258" t="s">
        <v>271</v>
      </c>
      <c r="F1258" s="259"/>
      <c r="G1258" s="202">
        <v>432388536</v>
      </c>
      <c r="H1258" s="611">
        <f>2126867345+465016533</f>
        <v>2591883878</v>
      </c>
      <c r="I1258" s="202">
        <v>432388536</v>
      </c>
      <c r="J1258" s="315">
        <v>2131000000</v>
      </c>
      <c r="K1258" s="617">
        <f t="shared" si="40"/>
        <v>2563388536</v>
      </c>
      <c r="L1258" s="614">
        <f t="shared" si="39"/>
        <v>-28495342</v>
      </c>
    </row>
    <row r="1259" spans="1:12" ht="15.75" customHeight="1">
      <c r="A1259" s="241" t="s">
        <v>167</v>
      </c>
      <c r="B1259" s="600">
        <v>9998</v>
      </c>
      <c r="C1259" s="183" t="s">
        <v>510</v>
      </c>
      <c r="D1259" s="187">
        <v>6433</v>
      </c>
      <c r="E1259" s="258" t="s">
        <v>42</v>
      </c>
      <c r="F1259" s="259"/>
      <c r="G1259" s="202">
        <v>100381767.161</v>
      </c>
      <c r="H1259" s="202">
        <v>92037955</v>
      </c>
      <c r="I1259" s="202">
        <v>100381767.161</v>
      </c>
      <c r="J1259" s="315"/>
      <c r="K1259" s="614">
        <f t="shared" si="40"/>
        <v>100381767.161</v>
      </c>
      <c r="L1259" s="614">
        <f t="shared" si="39"/>
        <v>8343812.160999998</v>
      </c>
    </row>
    <row r="1260" spans="1:12" ht="12.75" customHeight="1">
      <c r="A1260" s="241" t="s">
        <v>167</v>
      </c>
      <c r="B1260" s="600">
        <v>9998</v>
      </c>
      <c r="C1260" s="183"/>
      <c r="D1260" s="257" t="s">
        <v>20</v>
      </c>
      <c r="E1260" s="226"/>
      <c r="F1260" s="226"/>
      <c r="G1260" s="300">
        <f>SUBTOTAL(109,G1242:G1259)</f>
        <v>3558348876.0569997</v>
      </c>
      <c r="H1260" s="300">
        <f>SUBTOTAL(109,H1242:H1259)</f>
        <v>11929933398</v>
      </c>
      <c r="I1260" s="300">
        <f>SUBTOTAL(109,I1242:I1259)</f>
        <v>4812613634.057</v>
      </c>
      <c r="J1260" s="579">
        <f>SUBTOTAL(109,J1242:J1259)</f>
        <v>7848901502</v>
      </c>
      <c r="K1260" s="614">
        <f>SUBTOTAL(109,K1242:K1259)</f>
        <v>12661515136.057001</v>
      </c>
      <c r="L1260" s="614">
        <f t="shared" si="39"/>
        <v>731581738.0570011</v>
      </c>
    </row>
    <row r="1261" spans="1:12" ht="11.25" customHeight="1">
      <c r="A1261" s="241" t="s">
        <v>167</v>
      </c>
      <c r="B1261" s="600">
        <v>9999</v>
      </c>
      <c r="C1261" s="183"/>
      <c r="D1261" s="254" t="s">
        <v>694</v>
      </c>
      <c r="E1261" s="226"/>
      <c r="F1261" s="226"/>
      <c r="G1261" s="256"/>
      <c r="H1261" s="256"/>
      <c r="I1261" s="256"/>
      <c r="J1261" s="315"/>
      <c r="K1261" s="614">
        <f>I1261+J1261</f>
        <v>0</v>
      </c>
      <c r="L1261" s="614">
        <f t="shared" si="39"/>
        <v>0</v>
      </c>
    </row>
    <row r="1262" spans="1:12" ht="15.75" customHeight="1">
      <c r="A1262" s="241" t="s">
        <v>167</v>
      </c>
      <c r="B1262" s="600">
        <v>9999</v>
      </c>
      <c r="C1262" s="183" t="s">
        <v>509</v>
      </c>
      <c r="D1262" s="187">
        <v>6580</v>
      </c>
      <c r="E1262" s="192" t="s">
        <v>332</v>
      </c>
      <c r="F1262" s="226"/>
      <c r="G1262" s="202">
        <v>491346752</v>
      </c>
      <c r="H1262" s="202">
        <v>455664316</v>
      </c>
      <c r="I1262" s="202">
        <f>491346752-30000000</f>
        <v>461346752</v>
      </c>
      <c r="J1262" s="315"/>
      <c r="K1262" s="614">
        <f>I1262+J1262</f>
        <v>461346752</v>
      </c>
      <c r="L1262" s="614">
        <f t="shared" si="39"/>
        <v>5682436</v>
      </c>
    </row>
    <row r="1263" spans="1:12" ht="15.75" customHeight="1">
      <c r="A1263" s="241" t="s">
        <v>167</v>
      </c>
      <c r="B1263" s="600">
        <v>9999</v>
      </c>
      <c r="C1263" s="183"/>
      <c r="D1263" s="257" t="s">
        <v>20</v>
      </c>
      <c r="E1263" s="226"/>
      <c r="F1263" s="226"/>
      <c r="G1263" s="300">
        <f>SUBTOTAL(109,G1262:G1262)</f>
        <v>491346752</v>
      </c>
      <c r="H1263" s="300">
        <f>SUBTOTAL(109,H1262:H1262)</f>
        <v>455664316</v>
      </c>
      <c r="I1263" s="300">
        <f>SUBTOTAL(109,I1262:I1262)</f>
        <v>461346752</v>
      </c>
      <c r="J1263" s="315"/>
      <c r="K1263" s="614">
        <f>I1263+J1263</f>
        <v>461346752</v>
      </c>
      <c r="L1263" s="614">
        <f t="shared" si="39"/>
        <v>5682436</v>
      </c>
    </row>
    <row r="1264" spans="1:12" ht="15.75" customHeight="1">
      <c r="A1264" s="241" t="s">
        <v>167</v>
      </c>
      <c r="B1264" s="600">
        <v>9997</v>
      </c>
      <c r="C1264" s="183" t="s">
        <v>509</v>
      </c>
      <c r="D1264" s="255" t="s">
        <v>176</v>
      </c>
      <c r="E1264" s="226"/>
      <c r="F1264" s="226"/>
      <c r="G1264" s="256"/>
      <c r="H1264" s="256"/>
      <c r="I1264" s="256"/>
      <c r="J1264" s="315"/>
      <c r="K1264" s="614">
        <f>I1264+J1264</f>
        <v>0</v>
      </c>
      <c r="L1264" s="614">
        <f t="shared" si="39"/>
        <v>0</v>
      </c>
    </row>
    <row r="1265" spans="1:12" ht="15.75" customHeight="1">
      <c r="A1265" s="241" t="s">
        <v>167</v>
      </c>
      <c r="B1265" s="600">
        <v>9997</v>
      </c>
      <c r="C1265" s="183"/>
      <c r="D1265" s="188">
        <v>6138</v>
      </c>
      <c r="E1265" s="192" t="s">
        <v>177</v>
      </c>
      <c r="F1265" s="226"/>
      <c r="G1265" s="256">
        <v>562000000</v>
      </c>
      <c r="H1265" s="256">
        <v>848235826</v>
      </c>
      <c r="I1265" s="256">
        <f>(562000000+414436948)-19563000-380227160</f>
        <v>576646788</v>
      </c>
      <c r="J1265" s="315">
        <v>400000000</v>
      </c>
      <c r="K1265" s="614">
        <f>I1265+J1265</f>
        <v>976646788</v>
      </c>
      <c r="L1265" s="614">
        <f t="shared" si="39"/>
        <v>128410962</v>
      </c>
    </row>
    <row r="1266" spans="1:12" ht="15.75" customHeight="1">
      <c r="A1266" s="241" t="s">
        <v>167</v>
      </c>
      <c r="B1266" s="600">
        <v>9997</v>
      </c>
      <c r="C1266" s="183"/>
      <c r="D1266" s="257" t="s">
        <v>20</v>
      </c>
      <c r="E1266" s="226"/>
      <c r="F1266" s="226"/>
      <c r="G1266" s="300">
        <f>SUBTOTAL(109,G1265:G1265)</f>
        <v>562000000</v>
      </c>
      <c r="H1266" s="300">
        <f>SUBTOTAL(109,H1265:H1265)</f>
        <v>848235826</v>
      </c>
      <c r="I1266" s="300">
        <f>SUBTOTAL(109,I1265:I1265)</f>
        <v>576646788</v>
      </c>
      <c r="J1266" s="579">
        <f>SUBTOTAL(109,J1265:J1265)</f>
        <v>400000000</v>
      </c>
      <c r="K1266" s="614">
        <f>SUBTOTAL(109,K1265:K1265)</f>
        <v>976646788</v>
      </c>
      <c r="L1266" s="614">
        <f t="shared" si="39"/>
        <v>128410962</v>
      </c>
    </row>
    <row r="1267" spans="1:12" ht="24" customHeight="1">
      <c r="A1267" s="241" t="s">
        <v>167</v>
      </c>
      <c r="B1267" s="600">
        <v>9996</v>
      </c>
      <c r="C1267" s="183"/>
      <c r="D1267" s="255" t="s">
        <v>178</v>
      </c>
      <c r="E1267" s="227"/>
      <c r="F1267" s="227"/>
      <c r="G1267" s="256"/>
      <c r="H1267" s="256"/>
      <c r="I1267" s="256"/>
      <c r="J1267" s="315"/>
      <c r="K1267" s="614">
        <f aca="true" t="shared" si="41" ref="K1267:K1277">I1267+J1267</f>
        <v>0</v>
      </c>
      <c r="L1267" s="614">
        <f t="shared" si="39"/>
        <v>0</v>
      </c>
    </row>
    <row r="1268" spans="1:12" ht="15.75" customHeight="1">
      <c r="A1268" s="241" t="s">
        <v>167</v>
      </c>
      <c r="B1268" s="600">
        <v>9996</v>
      </c>
      <c r="C1268" s="183" t="s">
        <v>480</v>
      </c>
      <c r="D1268" s="188">
        <v>1763</v>
      </c>
      <c r="E1268" s="192" t="s">
        <v>249</v>
      </c>
      <c r="F1268" s="226"/>
      <c r="G1268" s="256"/>
      <c r="H1268" s="256"/>
      <c r="I1268" s="256"/>
      <c r="J1268" s="315"/>
      <c r="K1268" s="614">
        <f t="shared" si="41"/>
        <v>0</v>
      </c>
      <c r="L1268" s="614">
        <f t="shared" si="39"/>
        <v>0</v>
      </c>
    </row>
    <row r="1269" spans="1:12" ht="22.5" customHeight="1">
      <c r="A1269" s="241" t="s">
        <v>167</v>
      </c>
      <c r="B1269" s="600">
        <v>9996</v>
      </c>
      <c r="C1269" s="183" t="s">
        <v>480</v>
      </c>
      <c r="D1269" s="188">
        <v>1711</v>
      </c>
      <c r="E1269" s="192" t="s">
        <v>179</v>
      </c>
      <c r="F1269" s="226"/>
      <c r="G1269" s="202">
        <v>442833369.2</v>
      </c>
      <c r="H1269" s="202">
        <v>316295617</v>
      </c>
      <c r="I1269" s="202">
        <v>442833369.2</v>
      </c>
      <c r="J1269" s="315">
        <v>-116534855</v>
      </c>
      <c r="K1269" s="614">
        <f t="shared" si="41"/>
        <v>326298514.2</v>
      </c>
      <c r="L1269" s="614">
        <f t="shared" si="39"/>
        <v>10002897.199999988</v>
      </c>
    </row>
    <row r="1270" spans="1:12" ht="23.25" customHeight="1">
      <c r="A1270" s="241" t="s">
        <v>167</v>
      </c>
      <c r="B1270" s="600">
        <v>9996</v>
      </c>
      <c r="C1270" s="183" t="s">
        <v>480</v>
      </c>
      <c r="D1270" s="188">
        <v>1712</v>
      </c>
      <c r="E1270" s="192" t="s">
        <v>180</v>
      </c>
      <c r="F1270" s="226"/>
      <c r="G1270" s="202">
        <v>198243257.9</v>
      </c>
      <c r="H1270" s="202">
        <v>102874320</v>
      </c>
      <c r="I1270" s="202">
        <v>198243257.9</v>
      </c>
      <c r="J1270" s="315">
        <v>-90368753</v>
      </c>
      <c r="K1270" s="614">
        <f t="shared" si="41"/>
        <v>107874504.9</v>
      </c>
      <c r="L1270" s="614">
        <f t="shared" si="39"/>
        <v>5000184.900000006</v>
      </c>
    </row>
    <row r="1271" spans="1:12" ht="16.5" customHeight="1">
      <c r="A1271" s="241" t="s">
        <v>167</v>
      </c>
      <c r="B1271" s="600">
        <v>9996</v>
      </c>
      <c r="C1271" s="183" t="s">
        <v>480</v>
      </c>
      <c r="D1271" s="188">
        <v>1761</v>
      </c>
      <c r="E1271" s="192" t="s">
        <v>181</v>
      </c>
      <c r="F1271" s="226"/>
      <c r="G1271" s="202"/>
      <c r="H1271" s="202"/>
      <c r="I1271" s="202"/>
      <c r="J1271" s="315"/>
      <c r="K1271" s="614">
        <f t="shared" si="41"/>
        <v>0</v>
      </c>
      <c r="L1271" s="614">
        <f t="shared" si="39"/>
        <v>0</v>
      </c>
    </row>
    <row r="1272" spans="1:12" ht="15.75" customHeight="1">
      <c r="A1272" s="241" t="s">
        <v>167</v>
      </c>
      <c r="B1272" s="600">
        <v>9996</v>
      </c>
      <c r="C1272" s="183" t="s">
        <v>480</v>
      </c>
      <c r="D1272" s="188">
        <v>1762</v>
      </c>
      <c r="E1272" s="192" t="s">
        <v>248</v>
      </c>
      <c r="F1272" s="226"/>
      <c r="G1272" s="202"/>
      <c r="H1272" s="202"/>
      <c r="I1272" s="202"/>
      <c r="J1272" s="315"/>
      <c r="K1272" s="614">
        <f t="shared" si="41"/>
        <v>0</v>
      </c>
      <c r="L1272" s="614">
        <f t="shared" si="39"/>
        <v>0</v>
      </c>
    </row>
    <row r="1273" spans="1:12" ht="15.75" customHeight="1">
      <c r="A1273" s="241" t="s">
        <v>167</v>
      </c>
      <c r="B1273" s="601">
        <v>9996</v>
      </c>
      <c r="C1273" s="183" t="s">
        <v>480</v>
      </c>
      <c r="D1273" s="188">
        <v>1861</v>
      </c>
      <c r="E1273" s="226" t="s">
        <v>647</v>
      </c>
      <c r="F1273" s="226"/>
      <c r="G1273" s="202">
        <v>500000000</v>
      </c>
      <c r="H1273" s="338"/>
      <c r="I1273" s="202">
        <v>500000000</v>
      </c>
      <c r="J1273" s="315"/>
      <c r="K1273" s="614">
        <f t="shared" si="41"/>
        <v>500000000</v>
      </c>
      <c r="L1273" s="614">
        <f t="shared" si="39"/>
        <v>500000000</v>
      </c>
    </row>
    <row r="1274" spans="1:12" ht="15.75" customHeight="1">
      <c r="A1274" s="241" t="s">
        <v>167</v>
      </c>
      <c r="B1274" s="600">
        <v>9996</v>
      </c>
      <c r="C1274" s="183" t="s">
        <v>480</v>
      </c>
      <c r="D1274" s="188">
        <v>6452</v>
      </c>
      <c r="E1274" s="192" t="s">
        <v>182</v>
      </c>
      <c r="F1274" s="226"/>
      <c r="G1274" s="202">
        <v>320000000</v>
      </c>
      <c r="H1274" s="202">
        <v>115142571</v>
      </c>
      <c r="I1274" s="202">
        <f>320000000-25000000-5000000</f>
        <v>290000000</v>
      </c>
      <c r="J1274" s="315"/>
      <c r="K1274" s="614">
        <f t="shared" si="41"/>
        <v>290000000</v>
      </c>
      <c r="L1274" s="614">
        <f t="shared" si="39"/>
        <v>174857429</v>
      </c>
    </row>
    <row r="1275" spans="1:12" ht="15.75" customHeight="1">
      <c r="A1275" s="241" t="s">
        <v>167</v>
      </c>
      <c r="B1275" s="600">
        <v>9996</v>
      </c>
      <c r="C1275" s="183" t="s">
        <v>480</v>
      </c>
      <c r="D1275" s="188">
        <v>6711</v>
      </c>
      <c r="E1275" s="192" t="s">
        <v>278</v>
      </c>
      <c r="F1275" s="226"/>
      <c r="G1275" s="202">
        <v>22242495.4</v>
      </c>
      <c r="H1275" s="202">
        <v>17332353</v>
      </c>
      <c r="I1275" s="202">
        <v>22242495.4</v>
      </c>
      <c r="J1275" s="315"/>
      <c r="K1275" s="614">
        <f t="shared" si="41"/>
        <v>22242495.4</v>
      </c>
      <c r="L1275" s="614">
        <f t="shared" si="39"/>
        <v>4910142.3999999985</v>
      </c>
    </row>
    <row r="1276" spans="1:12" ht="15.75" customHeight="1">
      <c r="A1276" s="241" t="s">
        <v>167</v>
      </c>
      <c r="B1276" s="600">
        <v>9996</v>
      </c>
      <c r="C1276" s="183" t="s">
        <v>480</v>
      </c>
      <c r="D1276" s="188">
        <v>6712</v>
      </c>
      <c r="E1276" s="192" t="s">
        <v>183</v>
      </c>
      <c r="F1276" s="226"/>
      <c r="G1276" s="202">
        <v>192312034</v>
      </c>
      <c r="H1276" s="202">
        <v>92189049</v>
      </c>
      <c r="I1276" s="202">
        <v>192312034</v>
      </c>
      <c r="J1276" s="315">
        <v>-90997894</v>
      </c>
      <c r="K1276" s="614">
        <f t="shared" si="41"/>
        <v>101314140</v>
      </c>
      <c r="L1276" s="614">
        <f t="shared" si="39"/>
        <v>9125091</v>
      </c>
    </row>
    <row r="1277" spans="1:12" ht="15.75" customHeight="1">
      <c r="A1277" s="241" t="s">
        <v>167</v>
      </c>
      <c r="B1277" s="600">
        <v>9996</v>
      </c>
      <c r="C1277" s="183" t="s">
        <v>480</v>
      </c>
      <c r="D1277" s="188">
        <v>6717</v>
      </c>
      <c r="E1277" s="192" t="s">
        <v>329</v>
      </c>
      <c r="F1277" s="226"/>
      <c r="G1277" s="202">
        <v>95000000</v>
      </c>
      <c r="H1277" s="621">
        <f>76992+12036722</f>
        <v>12113714</v>
      </c>
      <c r="I1277" s="202">
        <v>95000000</v>
      </c>
      <c r="J1277" s="315"/>
      <c r="K1277" s="614">
        <f t="shared" si="41"/>
        <v>95000000</v>
      </c>
      <c r="L1277" s="614">
        <f t="shared" si="39"/>
        <v>82886286</v>
      </c>
    </row>
    <row r="1278" spans="1:12" ht="15.75" customHeight="1">
      <c r="A1278" s="241" t="s">
        <v>167</v>
      </c>
      <c r="B1278" s="600">
        <v>9996</v>
      </c>
      <c r="C1278" s="183"/>
      <c r="D1278" s="257" t="s">
        <v>20</v>
      </c>
      <c r="E1278" s="226"/>
      <c r="F1278" s="226"/>
      <c r="G1278" s="300">
        <f>SUBTOTAL(109,G1268:G1277)</f>
        <v>1770631156.5</v>
      </c>
      <c r="H1278" s="300">
        <f>SUBTOTAL(109,H1268:H1277)</f>
        <v>655947624</v>
      </c>
      <c r="I1278" s="300">
        <f>SUBTOTAL(109,I1268:I1277)</f>
        <v>1740631156.5</v>
      </c>
      <c r="J1278" s="579">
        <f>SUBTOTAL(109,J1268:J1277)</f>
        <v>-297901502</v>
      </c>
      <c r="K1278" s="614">
        <f>SUBTOTAL(109,K1268:K1277)</f>
        <v>1442729654.5</v>
      </c>
      <c r="L1278" s="614">
        <f t="shared" si="39"/>
        <v>786782030.5</v>
      </c>
    </row>
    <row r="1279" spans="1:12" ht="15.75" customHeight="1">
      <c r="A1279" s="241" t="s">
        <v>167</v>
      </c>
      <c r="B1279" s="321" t="s">
        <v>72</v>
      </c>
      <c r="C1279" s="322"/>
      <c r="D1279" s="188"/>
      <c r="E1279" s="179"/>
      <c r="F1279" s="226"/>
      <c r="G1279" s="300">
        <f>G1278+G1266+G1263+G1260</f>
        <v>6382326784.556999</v>
      </c>
      <c r="H1279" s="300">
        <f>H1278+H1266+H1263+H1260</f>
        <v>13889781164</v>
      </c>
      <c r="I1279" s="300">
        <f>I1278+I1266+I1263+I1260</f>
        <v>7591238330.557</v>
      </c>
      <c r="J1279" s="579">
        <f>J1278+J1266+J1263+J1260</f>
        <v>7951000000</v>
      </c>
      <c r="K1279" s="614">
        <f>I1279+J1279</f>
        <v>15542238330.557</v>
      </c>
      <c r="L1279" s="614">
        <f t="shared" si="39"/>
        <v>1652457166.5569992</v>
      </c>
    </row>
    <row r="1280" spans="1:12" ht="15.75" customHeight="1">
      <c r="A1280" s="241" t="s">
        <v>167</v>
      </c>
      <c r="B1280" s="321" t="s">
        <v>632</v>
      </c>
      <c r="C1280" s="322"/>
      <c r="D1280" s="257"/>
      <c r="E1280" s="317"/>
      <c r="F1280" s="227"/>
      <c r="G1280" s="300"/>
      <c r="H1280" s="300"/>
      <c r="I1280" s="300"/>
      <c r="J1280" s="315"/>
      <c r="K1280" s="614"/>
      <c r="L1280" s="614">
        <f t="shared" si="39"/>
        <v>0</v>
      </c>
    </row>
    <row r="1281" spans="1:12" ht="15.75" customHeight="1">
      <c r="A1281" s="241" t="s">
        <v>167</v>
      </c>
      <c r="B1281" s="272">
        <v>5500</v>
      </c>
      <c r="C1281" s="597" t="s">
        <v>502</v>
      </c>
      <c r="D1281" s="257" t="s">
        <v>648</v>
      </c>
      <c r="E1281" s="226"/>
      <c r="F1281" s="226"/>
      <c r="G1281" s="300"/>
      <c r="H1281" s="267"/>
      <c r="I1281" s="300"/>
      <c r="J1281" s="315"/>
      <c r="K1281" s="614"/>
      <c r="L1281" s="614">
        <f t="shared" si="39"/>
        <v>0</v>
      </c>
    </row>
    <row r="1282" spans="1:12" ht="15.75" customHeight="1">
      <c r="A1282" s="241" t="s">
        <v>167</v>
      </c>
      <c r="B1282" s="272">
        <v>5500</v>
      </c>
      <c r="C1282" s="597" t="s">
        <v>502</v>
      </c>
      <c r="D1282" s="188">
        <v>2011</v>
      </c>
      <c r="E1282" s="226" t="s">
        <v>649</v>
      </c>
      <c r="F1282" s="226"/>
      <c r="G1282" s="256">
        <v>500000000</v>
      </c>
      <c r="H1282" s="267">
        <v>172591900</v>
      </c>
      <c r="I1282" s="256">
        <v>500000000</v>
      </c>
      <c r="J1282" s="579"/>
      <c r="K1282" s="614">
        <f>I1282+J1282</f>
        <v>500000000</v>
      </c>
      <c r="L1282" s="614">
        <f t="shared" si="39"/>
        <v>327408100</v>
      </c>
    </row>
    <row r="1283" spans="1:12" ht="15.75" customHeight="1">
      <c r="A1283" s="241" t="s">
        <v>167</v>
      </c>
      <c r="B1283" s="272">
        <v>5500</v>
      </c>
      <c r="C1283" s="597" t="s">
        <v>502</v>
      </c>
      <c r="D1283" s="257" t="s">
        <v>20</v>
      </c>
      <c r="E1283" s="226"/>
      <c r="F1283" s="226"/>
      <c r="G1283" s="300">
        <f>G1282</f>
        <v>500000000</v>
      </c>
      <c r="H1283" s="300">
        <f>H1282</f>
        <v>172591900</v>
      </c>
      <c r="I1283" s="300">
        <f>I1282</f>
        <v>500000000</v>
      </c>
      <c r="J1283" s="579">
        <f>J1282</f>
        <v>0</v>
      </c>
      <c r="K1283" s="615">
        <f>K1282</f>
        <v>500000000</v>
      </c>
      <c r="L1283" s="614">
        <f t="shared" si="39"/>
        <v>327408100</v>
      </c>
    </row>
    <row r="1284" spans="1:12" ht="15.75" customHeight="1">
      <c r="A1284" s="241" t="s">
        <v>167</v>
      </c>
      <c r="B1284" s="272">
        <v>5501</v>
      </c>
      <c r="C1284" s="183" t="s">
        <v>480</v>
      </c>
      <c r="D1284" s="255" t="s">
        <v>184</v>
      </c>
      <c r="E1284" s="227"/>
      <c r="F1284" s="227"/>
      <c r="G1284" s="256"/>
      <c r="H1284" s="256"/>
      <c r="I1284" s="256"/>
      <c r="J1284" s="315"/>
      <c r="K1284" s="614">
        <f>I1284+J1284</f>
        <v>0</v>
      </c>
      <c r="L1284" s="614">
        <f t="shared" si="39"/>
        <v>0</v>
      </c>
    </row>
    <row r="1285" spans="1:12" ht="15.75" customHeight="1">
      <c r="A1285" s="241" t="s">
        <v>167</v>
      </c>
      <c r="B1285" s="272">
        <v>5501</v>
      </c>
      <c r="C1285" s="183" t="s">
        <v>496</v>
      </c>
      <c r="D1285" s="257">
        <v>2141</v>
      </c>
      <c r="E1285" s="226" t="s">
        <v>185</v>
      </c>
      <c r="F1285" s="226"/>
      <c r="G1285" s="256">
        <v>0</v>
      </c>
      <c r="H1285" s="256"/>
      <c r="I1285" s="256">
        <v>0</v>
      </c>
      <c r="J1285" s="315"/>
      <c r="K1285" s="614">
        <f>I1285+J1285</f>
        <v>0</v>
      </c>
      <c r="L1285" s="614">
        <f t="shared" si="39"/>
        <v>0</v>
      </c>
    </row>
    <row r="1286" spans="1:12" ht="15.75" customHeight="1">
      <c r="A1286" s="241" t="s">
        <v>167</v>
      </c>
      <c r="B1286" s="272">
        <v>5501</v>
      </c>
      <c r="C1286" s="183"/>
      <c r="D1286" s="257" t="s">
        <v>20</v>
      </c>
      <c r="E1286" s="226"/>
      <c r="F1286" s="226"/>
      <c r="G1286" s="300">
        <f>SUBTOTAL(109,G1285:G1285)</f>
        <v>0</v>
      </c>
      <c r="H1286" s="300">
        <f>SUBTOTAL(109,H1285:H1285)</f>
        <v>0</v>
      </c>
      <c r="I1286" s="300">
        <f>SUBTOTAL(109,I1285:I1285)</f>
        <v>0</v>
      </c>
      <c r="J1286" s="315"/>
      <c r="K1286" s="614">
        <f>I1286+J1286</f>
        <v>0</v>
      </c>
      <c r="L1286" s="614">
        <f t="shared" si="39"/>
        <v>0</v>
      </c>
    </row>
    <row r="1287" spans="1:12" ht="15.75" customHeight="1">
      <c r="A1287" s="241" t="s">
        <v>167</v>
      </c>
      <c r="B1287" s="272">
        <v>5502</v>
      </c>
      <c r="C1287" s="183"/>
      <c r="D1287" s="255" t="s">
        <v>186</v>
      </c>
      <c r="E1287" s="227"/>
      <c r="F1287" s="227"/>
      <c r="G1287" s="256"/>
      <c r="H1287" s="256"/>
      <c r="I1287" s="256"/>
      <c r="J1287" s="315"/>
      <c r="K1287" s="614">
        <f>I1287+J1287</f>
        <v>0</v>
      </c>
      <c r="L1287" s="614">
        <f aca="true" t="shared" si="42" ref="L1287:L1306">K1287-H1287</f>
        <v>0</v>
      </c>
    </row>
    <row r="1288" spans="1:12" ht="15.75" customHeight="1">
      <c r="A1288" s="241" t="s">
        <v>167</v>
      </c>
      <c r="B1288" s="272">
        <v>5502</v>
      </c>
      <c r="C1288" s="183" t="s">
        <v>468</v>
      </c>
      <c r="D1288" s="257">
        <v>2121</v>
      </c>
      <c r="E1288" s="270" t="s">
        <v>590</v>
      </c>
      <c r="F1288" s="267"/>
      <c r="G1288" s="256">
        <v>320510296</v>
      </c>
      <c r="H1288" s="256">
        <f>54565340+4737500</f>
        <v>59302840</v>
      </c>
      <c r="I1288" s="256">
        <f>302368204*(1+6%)</f>
        <v>320510296.24</v>
      </c>
      <c r="J1288" s="315"/>
      <c r="K1288" s="614">
        <f>I1288+J1288</f>
        <v>320510296.24</v>
      </c>
      <c r="L1288" s="614">
        <f t="shared" si="42"/>
        <v>261207456.24</v>
      </c>
    </row>
    <row r="1289" spans="1:12" ht="15.75" customHeight="1">
      <c r="A1289" s="241" t="s">
        <v>167</v>
      </c>
      <c r="B1289" s="272">
        <v>5502</v>
      </c>
      <c r="C1289" s="183"/>
      <c r="D1289" s="257" t="s">
        <v>20</v>
      </c>
      <c r="E1289" s="226"/>
      <c r="F1289" s="226"/>
      <c r="G1289" s="300">
        <f>SUBTOTAL(109,G1288:G1288)</f>
        <v>320510296</v>
      </c>
      <c r="H1289" s="300">
        <f>SUBTOTAL(109,H1288:H1288)</f>
        <v>59302840</v>
      </c>
      <c r="I1289" s="300">
        <f>SUBTOTAL(109,I1288:I1288)</f>
        <v>320510296.24</v>
      </c>
      <c r="J1289" s="579">
        <f>SUBTOTAL(109,J1288:J1288)</f>
        <v>0</v>
      </c>
      <c r="K1289" s="615">
        <f>SUBTOTAL(109,K1288:K1288)</f>
        <v>320510296.24</v>
      </c>
      <c r="L1289" s="614">
        <f t="shared" si="42"/>
        <v>261207456.24</v>
      </c>
    </row>
    <row r="1290" spans="1:12" ht="18">
      <c r="A1290" s="241" t="s">
        <v>167</v>
      </c>
      <c r="B1290" s="272">
        <v>5503</v>
      </c>
      <c r="C1290" s="183"/>
      <c r="D1290" s="255" t="s">
        <v>324</v>
      </c>
      <c r="E1290" s="226"/>
      <c r="F1290" s="226"/>
      <c r="G1290" s="256"/>
      <c r="H1290" s="256"/>
      <c r="I1290" s="256"/>
      <c r="J1290" s="315"/>
      <c r="K1290" s="614">
        <f>I1290+J1290</f>
        <v>0</v>
      </c>
      <c r="L1290" s="614">
        <f t="shared" si="42"/>
        <v>0</v>
      </c>
    </row>
    <row r="1291" spans="1:12" ht="15.75" customHeight="1">
      <c r="A1291" s="241" t="s">
        <v>167</v>
      </c>
      <c r="B1291" s="272">
        <v>5503</v>
      </c>
      <c r="C1291" s="183"/>
      <c r="D1291" s="257">
        <v>2761</v>
      </c>
      <c r="E1291" s="324" t="s">
        <v>325</v>
      </c>
      <c r="F1291" s="267"/>
      <c r="G1291" s="256"/>
      <c r="H1291" s="256"/>
      <c r="I1291" s="256"/>
      <c r="J1291" s="315"/>
      <c r="K1291" s="614">
        <f>I1291+J1291</f>
        <v>0</v>
      </c>
      <c r="L1291" s="614">
        <f t="shared" si="42"/>
        <v>0</v>
      </c>
    </row>
    <row r="1292" spans="1:12" ht="18">
      <c r="A1292" s="241" t="s">
        <v>167</v>
      </c>
      <c r="B1292" s="272">
        <v>5503</v>
      </c>
      <c r="C1292" s="183"/>
      <c r="D1292" s="257">
        <v>2762</v>
      </c>
      <c r="E1292" s="270" t="s">
        <v>323</v>
      </c>
      <c r="F1292" s="267"/>
      <c r="G1292" s="256">
        <v>1219000000</v>
      </c>
      <c r="H1292" s="256"/>
      <c r="I1292" s="256">
        <v>1219000000</v>
      </c>
      <c r="J1292" s="315">
        <v>-1219000000</v>
      </c>
      <c r="K1292" s="614">
        <f>I1292+J1292</f>
        <v>0</v>
      </c>
      <c r="L1292" s="614">
        <f t="shared" si="42"/>
        <v>0</v>
      </c>
    </row>
    <row r="1293" spans="1:12" ht="18">
      <c r="A1293" s="241" t="s">
        <v>167</v>
      </c>
      <c r="B1293" s="272">
        <v>5503</v>
      </c>
      <c r="C1293" s="183"/>
      <c r="D1293" s="257" t="s">
        <v>20</v>
      </c>
      <c r="E1293" s="226"/>
      <c r="F1293" s="226"/>
      <c r="G1293" s="300">
        <f>SUBTOTAL(109,G1291:G1292)</f>
        <v>1219000000</v>
      </c>
      <c r="H1293" s="300">
        <f>SUBTOTAL(109,H1291:H1291)</f>
        <v>0</v>
      </c>
      <c r="I1293" s="300">
        <f>SUBTOTAL(109,I1291:I1292)</f>
        <v>1219000000</v>
      </c>
      <c r="J1293" s="579">
        <f>SUBTOTAL(109,J1291:J1292)</f>
        <v>-1219000000</v>
      </c>
      <c r="K1293" s="614">
        <f>SUBTOTAL(109,K1291:K1292)</f>
        <v>0</v>
      </c>
      <c r="L1293" s="614">
        <f t="shared" si="42"/>
        <v>0</v>
      </c>
    </row>
    <row r="1294" spans="1:12" ht="18">
      <c r="A1294" s="241" t="s">
        <v>167</v>
      </c>
      <c r="B1294" s="272">
        <v>5601</v>
      </c>
      <c r="C1294" s="183"/>
      <c r="D1294" s="255" t="s">
        <v>187</v>
      </c>
      <c r="E1294" s="323"/>
      <c r="F1294" s="323"/>
      <c r="G1294" s="256"/>
      <c r="H1294" s="256"/>
      <c r="I1294" s="256"/>
      <c r="J1294" s="315"/>
      <c r="K1294" s="614">
        <f>I1294+J1294</f>
        <v>0</v>
      </c>
      <c r="L1294" s="614">
        <f t="shared" si="42"/>
        <v>0</v>
      </c>
    </row>
    <row r="1295" spans="1:12" ht="18">
      <c r="A1295" s="241" t="s">
        <v>167</v>
      </c>
      <c r="B1295" s="272">
        <v>5601</v>
      </c>
      <c r="C1295" s="183" t="s">
        <v>468</v>
      </c>
      <c r="D1295" s="257">
        <v>2164</v>
      </c>
      <c r="E1295" s="324" t="s">
        <v>322</v>
      </c>
      <c r="F1295" s="267"/>
      <c r="G1295" s="256">
        <v>40000000</v>
      </c>
      <c r="H1295" s="256">
        <v>20416100</v>
      </c>
      <c r="I1295" s="256">
        <f>20000000*2</f>
        <v>40000000</v>
      </c>
      <c r="J1295" s="315"/>
      <c r="K1295" s="614">
        <f>I1295+J1295</f>
        <v>40000000</v>
      </c>
      <c r="L1295" s="614">
        <f t="shared" si="42"/>
        <v>19583900</v>
      </c>
    </row>
    <row r="1296" spans="1:12" ht="18">
      <c r="A1296" s="241" t="s">
        <v>167</v>
      </c>
      <c r="B1296" s="272">
        <v>5601</v>
      </c>
      <c r="C1296" s="183" t="s">
        <v>468</v>
      </c>
      <c r="D1296" s="257">
        <v>2165</v>
      </c>
      <c r="E1296" s="324" t="s">
        <v>321</v>
      </c>
      <c r="F1296" s="319"/>
      <c r="G1296" s="202">
        <v>60000000</v>
      </c>
      <c r="H1296" s="202">
        <v>25122500</v>
      </c>
      <c r="I1296" s="256">
        <f>30000000*2</f>
        <v>60000000</v>
      </c>
      <c r="K1296" s="614">
        <f>I1296+J1296</f>
        <v>60000000</v>
      </c>
      <c r="L1296" s="614">
        <f t="shared" si="42"/>
        <v>34877500</v>
      </c>
    </row>
    <row r="1297" spans="1:12" ht="18">
      <c r="A1297" s="241" t="s">
        <v>167</v>
      </c>
      <c r="B1297" s="272">
        <v>5601</v>
      </c>
      <c r="C1297" s="183" t="s">
        <v>468</v>
      </c>
      <c r="D1297" s="257">
        <v>2171</v>
      </c>
      <c r="E1297" s="324" t="s">
        <v>284</v>
      </c>
      <c r="F1297" s="259"/>
      <c r="G1297" s="202">
        <v>90786880</v>
      </c>
      <c r="H1297" s="320">
        <v>85400000</v>
      </c>
      <c r="I1297" s="256">
        <f>85648000*(1+6%)</f>
        <v>90786880</v>
      </c>
      <c r="J1297" s="579"/>
      <c r="K1297" s="614">
        <f>I1297+J1297</f>
        <v>90786880</v>
      </c>
      <c r="L1297" s="614">
        <f t="shared" si="42"/>
        <v>5386880</v>
      </c>
    </row>
    <row r="1298" spans="1:12" ht="18">
      <c r="A1298" s="241" t="s">
        <v>167</v>
      </c>
      <c r="B1298" s="272">
        <v>5601</v>
      </c>
      <c r="C1298" s="183"/>
      <c r="D1298" s="257" t="s">
        <v>20</v>
      </c>
      <c r="E1298" s="226"/>
      <c r="F1298" s="226"/>
      <c r="G1298" s="300">
        <f>SUBTOTAL(109,G1295:G1297)</f>
        <v>190786880</v>
      </c>
      <c r="H1298" s="300">
        <f>SUBTOTAL(109,H1295:H1297)</f>
        <v>130938600</v>
      </c>
      <c r="I1298" s="300">
        <f>SUBTOTAL(109,I1295:I1297)</f>
        <v>190786880</v>
      </c>
      <c r="J1298" s="579">
        <f>SUBTOTAL(109,J1295:J1297)</f>
        <v>0</v>
      </c>
      <c r="K1298" s="615">
        <f>SUBTOTAL(109,K1295:K1297)</f>
        <v>190786880</v>
      </c>
      <c r="L1298" s="614">
        <f t="shared" si="42"/>
        <v>59848280</v>
      </c>
    </row>
    <row r="1299" spans="1:12" ht="18">
      <c r="A1299" s="241" t="s">
        <v>167</v>
      </c>
      <c r="B1299" s="272">
        <v>5900</v>
      </c>
      <c r="C1299" s="183"/>
      <c r="D1299" s="255" t="s">
        <v>188</v>
      </c>
      <c r="E1299" s="323"/>
      <c r="F1299" s="323"/>
      <c r="G1299" s="256"/>
      <c r="H1299" s="256"/>
      <c r="I1299" s="256"/>
      <c r="K1299" s="614"/>
      <c r="L1299" s="614">
        <f t="shared" si="42"/>
        <v>0</v>
      </c>
    </row>
    <row r="1300" spans="1:12" ht="18">
      <c r="A1300" s="241" t="s">
        <v>167</v>
      </c>
      <c r="B1300" s="272">
        <v>5900</v>
      </c>
      <c r="C1300" s="183" t="s">
        <v>468</v>
      </c>
      <c r="D1300" s="188">
        <v>2121</v>
      </c>
      <c r="E1300" s="270" t="s">
        <v>590</v>
      </c>
      <c r="F1300" s="267"/>
      <c r="G1300" s="256">
        <f>636094039-140630000+252000000</f>
        <v>747464039</v>
      </c>
      <c r="H1300" s="256">
        <v>125307449</v>
      </c>
      <c r="I1300" s="256">
        <f>636094039-140630000+252000000</f>
        <v>747464039</v>
      </c>
      <c r="K1300" s="614">
        <f>I1300+J1300</f>
        <v>747464039</v>
      </c>
      <c r="L1300" s="614">
        <f t="shared" si="42"/>
        <v>622156590</v>
      </c>
    </row>
    <row r="1301" spans="1:12" ht="18">
      <c r="A1301" s="241" t="s">
        <v>167</v>
      </c>
      <c r="B1301" s="272">
        <v>5900</v>
      </c>
      <c r="C1301" s="183" t="s">
        <v>468</v>
      </c>
      <c r="D1301" s="188"/>
      <c r="E1301" s="270" t="s">
        <v>328</v>
      </c>
      <c r="F1301" s="267"/>
      <c r="G1301" s="256"/>
      <c r="H1301" s="267"/>
      <c r="I1301" s="256"/>
      <c r="K1301" s="614"/>
      <c r="L1301" s="614">
        <f t="shared" si="42"/>
        <v>0</v>
      </c>
    </row>
    <row r="1302" spans="1:12" ht="18">
      <c r="A1302" s="241" t="s">
        <v>167</v>
      </c>
      <c r="B1302" s="272">
        <v>5900</v>
      </c>
      <c r="C1302" s="183" t="s">
        <v>468</v>
      </c>
      <c r="D1302" s="257" t="s">
        <v>20</v>
      </c>
      <c r="E1302" s="192"/>
      <c r="F1302" s="226"/>
      <c r="G1302" s="300">
        <f>SUBTOTAL(109,G1300:G1300)</f>
        <v>747464039</v>
      </c>
      <c r="H1302" s="300">
        <f>SUBTOTAL(109,H1300:H1300)</f>
        <v>125307449</v>
      </c>
      <c r="I1302" s="300">
        <f>SUBTOTAL(109,I1300:I1300)</f>
        <v>747464039</v>
      </c>
      <c r="J1302" s="579">
        <f>SUBTOTAL(109,J1300:J1300)</f>
        <v>0</v>
      </c>
      <c r="K1302" s="615">
        <f>SUBTOTAL(109,K1300:K1300)</f>
        <v>747464039</v>
      </c>
      <c r="L1302" s="614">
        <f t="shared" si="42"/>
        <v>622156590</v>
      </c>
    </row>
    <row r="1303" spans="1:12" ht="18">
      <c r="A1303" s="241"/>
      <c r="B1303" s="325"/>
      <c r="C1303" s="273"/>
      <c r="D1303" s="188"/>
      <c r="E1303" s="226"/>
      <c r="F1303" s="226"/>
      <c r="G1303" s="300"/>
      <c r="H1303" s="300"/>
      <c r="I1303" s="300"/>
      <c r="J1303" s="579"/>
      <c r="K1303" s="614"/>
      <c r="L1303" s="614">
        <f t="shared" si="42"/>
        <v>0</v>
      </c>
    </row>
    <row r="1304" spans="1:12" ht="18">
      <c r="A1304" s="241" t="s">
        <v>167</v>
      </c>
      <c r="B1304" s="312" t="s">
        <v>72</v>
      </c>
      <c r="C1304" s="328"/>
      <c r="D1304" s="188"/>
      <c r="E1304" s="226"/>
      <c r="F1304" s="226"/>
      <c r="G1304" s="300">
        <f>G1302+G1298+G1293+G1289+G1286+G1283</f>
        <v>2977761215</v>
      </c>
      <c r="H1304" s="300">
        <f>H1302+H1298+H1293+H1289+H1286+H1283</f>
        <v>488140789</v>
      </c>
      <c r="I1304" s="300">
        <f>I1302+I1298+I1293+I1289+I1286+I1283</f>
        <v>2977761215.24</v>
      </c>
      <c r="J1304" s="579">
        <f>J1302+J1298+J1293+J1289+J1286+J1283</f>
        <v>-1219000000</v>
      </c>
      <c r="K1304" s="615">
        <f>K1302+K1298+K1293+K1289+K1286+K1283</f>
        <v>1758761215.24</v>
      </c>
      <c r="L1304" s="615">
        <f t="shared" si="42"/>
        <v>1270620426.24</v>
      </c>
    </row>
    <row r="1305" spans="1:12" ht="18">
      <c r="A1305" s="241"/>
      <c r="B1305" s="312" t="s">
        <v>72</v>
      </c>
      <c r="C1305" s="273"/>
      <c r="D1305" s="188"/>
      <c r="E1305" s="226"/>
      <c r="F1305" s="226"/>
      <c r="G1305" s="98">
        <f>G1304+G1279</f>
        <v>9360087999.557</v>
      </c>
      <c r="H1305" s="98">
        <f>H1304+H1279</f>
        <v>14377921953</v>
      </c>
      <c r="I1305" s="98">
        <f>I1304+I1279</f>
        <v>10568999545.797</v>
      </c>
      <c r="J1305" s="581">
        <f>J1304+J1279</f>
        <v>6732000000</v>
      </c>
      <c r="K1305" s="615">
        <f>K1304+K1279</f>
        <v>17300999545.797</v>
      </c>
      <c r="L1305" s="615">
        <f>K1305-H1305</f>
        <v>2923077592.797001</v>
      </c>
    </row>
    <row r="1306" spans="1:12" ht="18">
      <c r="A1306" s="241"/>
      <c r="B1306" s="325"/>
      <c r="C1306" s="245"/>
      <c r="D1306" s="188"/>
      <c r="E1306" s="226"/>
      <c r="F1306" s="226"/>
      <c r="G1306" s="267"/>
      <c r="H1306" s="267"/>
      <c r="I1306" s="267"/>
      <c r="K1306" s="614">
        <f>I1306+J1306</f>
        <v>0</v>
      </c>
      <c r="L1306" s="614">
        <f t="shared" si="42"/>
        <v>0</v>
      </c>
    </row>
    <row r="1307" spans="1:12" ht="18">
      <c r="A1307" s="241"/>
      <c r="B1307" s="358" t="s">
        <v>202</v>
      </c>
      <c r="C1307" s="273"/>
      <c r="D1307" s="188"/>
      <c r="E1307" s="226"/>
      <c r="F1307" s="226"/>
      <c r="G1307" s="98">
        <f>G1305+G1239+G1230+G1131+G1022+G881+G777+G689+G647+G540+G405+G291+G195+G75+G58+G33</f>
        <v>56528503190.310005</v>
      </c>
      <c r="H1307" s="98">
        <f>H1305+H1239+H1230+H1131+H1022+H881+H777+H689+H647+H540+H405+H291+H195+H75+H58+H33</f>
        <v>47642062502.619995</v>
      </c>
      <c r="I1307" s="98">
        <f>I1305+I1239+I1230+I1131+I1022+I881+I777+I689+I647+I540+I405+I291+I195+I75+I58+I33</f>
        <v>56852708404.55001</v>
      </c>
      <c r="J1307" s="581">
        <f>J1305+J1239+J1230+J1131+J1022+J881+J777+J689+J647+J540+J405+J291+J195+J75+J58+J33</f>
        <v>-55000000</v>
      </c>
      <c r="K1307" s="615">
        <f>K1305+K1239+K1230+K1131+K1022+K881+K777+K689+K647+K540+K405+K291+K195+K75+K58+K33</f>
        <v>56797708404.55001</v>
      </c>
      <c r="L1307" s="615">
        <f>K1307-H1307</f>
        <v>9155645901.930016</v>
      </c>
    </row>
    <row r="1308" spans="1:9" ht="15.75">
      <c r="A1308" s="241"/>
      <c r="B1308" s="325"/>
      <c r="C1308" s="273"/>
      <c r="D1308" s="188"/>
      <c r="E1308" s="226"/>
      <c r="F1308" s="226"/>
      <c r="G1308" s="267"/>
      <c r="H1308" s="267"/>
      <c r="I1308" s="267"/>
    </row>
    <row r="1309" spans="1:9" ht="15.75">
      <c r="A1309" s="241"/>
      <c r="B1309" s="325"/>
      <c r="C1309" s="273"/>
      <c r="D1309" s="188"/>
      <c r="E1309" s="226"/>
      <c r="F1309" s="226"/>
      <c r="G1309" s="267"/>
      <c r="H1309" s="267"/>
      <c r="I1309" s="267"/>
    </row>
    <row r="1310" spans="1:9" ht="15.75">
      <c r="A1310" s="241"/>
      <c r="B1310" s="325"/>
      <c r="C1310" s="273"/>
      <c r="D1310" s="188"/>
      <c r="E1310" s="226"/>
      <c r="F1310" s="226"/>
      <c r="G1310" s="267"/>
      <c r="H1310" s="267"/>
      <c r="I1310" s="267"/>
    </row>
    <row r="1311" spans="1:9" ht="15.75">
      <c r="A1311" s="241"/>
      <c r="B1311" s="325"/>
      <c r="C1311" s="273"/>
      <c r="D1311" s="188"/>
      <c r="E1311" s="226"/>
      <c r="F1311" s="226"/>
      <c r="G1311" s="267"/>
      <c r="H1311" s="267"/>
      <c r="I1311" s="267"/>
    </row>
    <row r="1312" spans="1:9" ht="15.75">
      <c r="A1312" s="241"/>
      <c r="B1312" s="325"/>
      <c r="C1312" s="273"/>
      <c r="D1312" s="188"/>
      <c r="E1312" s="226"/>
      <c r="F1312" s="226"/>
      <c r="G1312" s="267"/>
      <c r="H1312" s="267"/>
      <c r="I1312" s="267"/>
    </row>
    <row r="1313" spans="1:9" ht="15.75">
      <c r="A1313" s="241"/>
      <c r="B1313" s="325"/>
      <c r="C1313" s="273"/>
      <c r="D1313" s="188"/>
      <c r="E1313" s="226"/>
      <c r="F1313" s="226"/>
      <c r="G1313" s="267"/>
      <c r="H1313" s="267"/>
      <c r="I1313" s="267"/>
    </row>
    <row r="1314" spans="1:9" ht="15.75">
      <c r="A1314" s="241"/>
      <c r="B1314" s="325"/>
      <c r="C1314" s="273"/>
      <c r="D1314" s="188"/>
      <c r="E1314" s="226"/>
      <c r="F1314" s="226"/>
      <c r="G1314" s="267"/>
      <c r="H1314" s="267"/>
      <c r="I1314" s="267"/>
    </row>
    <row r="1315" spans="1:9" ht="15.75">
      <c r="A1315" s="241"/>
      <c r="B1315" s="325"/>
      <c r="C1315" s="273"/>
      <c r="D1315" s="188"/>
      <c r="E1315" s="226"/>
      <c r="F1315" s="226"/>
      <c r="G1315" s="267"/>
      <c r="H1315" s="267"/>
      <c r="I1315" s="267"/>
    </row>
    <row r="1316" spans="1:9" ht="15.75">
      <c r="A1316" s="241"/>
      <c r="B1316" s="325"/>
      <c r="C1316" s="273"/>
      <c r="D1316" s="188"/>
      <c r="E1316" s="226"/>
      <c r="F1316" s="226"/>
      <c r="G1316" s="267"/>
      <c r="H1316" s="267"/>
      <c r="I1316" s="267"/>
    </row>
    <row r="1317" spans="1:9" ht="15.75">
      <c r="A1317" s="241"/>
      <c r="B1317" s="325"/>
      <c r="C1317" s="273"/>
      <c r="D1317" s="188"/>
      <c r="E1317" s="226"/>
      <c r="F1317" s="226"/>
      <c r="G1317" s="267"/>
      <c r="H1317" s="267"/>
      <c r="I1317" s="267"/>
    </row>
    <row r="1318" spans="1:9" ht="15.75">
      <c r="A1318" s="241"/>
      <c r="B1318" s="325"/>
      <c r="C1318" s="273"/>
      <c r="D1318" s="188"/>
      <c r="E1318" s="226"/>
      <c r="F1318" s="226"/>
      <c r="G1318" s="267"/>
      <c r="H1318" s="267"/>
      <c r="I1318" s="267"/>
    </row>
    <row r="1319" spans="1:9" ht="15.75">
      <c r="A1319" s="241"/>
      <c r="B1319" s="325"/>
      <c r="C1319" s="273"/>
      <c r="D1319" s="188"/>
      <c r="E1319" s="226"/>
      <c r="F1319" s="226"/>
      <c r="G1319" s="267"/>
      <c r="H1319" s="267"/>
      <c r="I1319" s="267"/>
    </row>
    <row r="1320" spans="1:9" ht="15.75">
      <c r="A1320" s="241"/>
      <c r="B1320" s="325"/>
      <c r="C1320" s="273"/>
      <c r="D1320" s="188"/>
      <c r="E1320" s="226"/>
      <c r="F1320" s="226"/>
      <c r="G1320" s="267"/>
      <c r="H1320" s="267"/>
      <c r="I1320" s="267"/>
    </row>
    <row r="1321" spans="1:9" ht="15.75">
      <c r="A1321" s="241"/>
      <c r="B1321" s="325"/>
      <c r="C1321" s="273"/>
      <c r="D1321" s="188"/>
      <c r="E1321" s="226"/>
      <c r="F1321" s="226"/>
      <c r="G1321" s="267"/>
      <c r="H1321" s="267"/>
      <c r="I1321" s="267"/>
    </row>
    <row r="1322" spans="1:9" ht="15.75">
      <c r="A1322" s="241"/>
      <c r="B1322" s="325"/>
      <c r="C1322" s="273"/>
      <c r="D1322" s="188"/>
      <c r="E1322" s="226"/>
      <c r="F1322" s="226"/>
      <c r="G1322" s="267"/>
      <c r="H1322" s="267"/>
      <c r="I1322" s="267"/>
    </row>
    <row r="1323" spans="1:9" ht="15.75">
      <c r="A1323" s="241"/>
      <c r="B1323" s="325"/>
      <c r="C1323" s="273"/>
      <c r="D1323" s="188"/>
      <c r="E1323" s="226"/>
      <c r="F1323" s="226"/>
      <c r="G1323" s="267"/>
      <c r="H1323" s="267"/>
      <c r="I1323" s="267"/>
    </row>
    <row r="1324" spans="1:9" ht="15.75">
      <c r="A1324" s="241"/>
      <c r="B1324" s="325"/>
      <c r="C1324" s="273"/>
      <c r="D1324" s="188"/>
      <c r="E1324" s="226"/>
      <c r="F1324" s="226"/>
      <c r="G1324" s="267"/>
      <c r="H1324" s="267"/>
      <c r="I1324" s="267"/>
    </row>
    <row r="1325" spans="1:9" ht="15.75">
      <c r="A1325" s="241"/>
      <c r="B1325" s="325"/>
      <c r="C1325" s="273"/>
      <c r="D1325" s="188"/>
      <c r="E1325" s="226"/>
      <c r="F1325" s="226"/>
      <c r="G1325" s="267"/>
      <c r="H1325" s="267"/>
      <c r="I1325" s="267"/>
    </row>
    <row r="1326" spans="1:9" ht="15.75">
      <c r="A1326" s="241"/>
      <c r="B1326" s="325"/>
      <c r="C1326" s="273"/>
      <c r="D1326" s="188"/>
      <c r="E1326" s="226"/>
      <c r="F1326" s="226"/>
      <c r="G1326" s="267"/>
      <c r="H1326" s="267"/>
      <c r="I1326" s="267"/>
    </row>
    <row r="1327" spans="1:9" ht="15.75">
      <c r="A1327" s="241"/>
      <c r="B1327" s="325"/>
      <c r="C1327" s="273"/>
      <c r="D1327" s="188"/>
      <c r="E1327" s="226"/>
      <c r="F1327" s="226"/>
      <c r="G1327" s="267"/>
      <c r="H1327" s="267"/>
      <c r="I1327" s="267"/>
    </row>
    <row r="1328" spans="1:9" ht="15.75">
      <c r="A1328" s="241"/>
      <c r="B1328" s="325"/>
      <c r="C1328" s="273"/>
      <c r="D1328" s="188"/>
      <c r="E1328" s="226"/>
      <c r="F1328" s="226"/>
      <c r="G1328" s="267"/>
      <c r="H1328" s="267"/>
      <c r="I1328" s="267"/>
    </row>
    <row r="1329" spans="1:9" ht="15.75">
      <c r="A1329" s="626"/>
      <c r="B1329" s="627"/>
      <c r="C1329" s="627"/>
      <c r="D1329" s="628"/>
      <c r="E1329" s="629"/>
      <c r="F1329" s="630"/>
      <c r="G1329" s="631"/>
      <c r="H1329" s="631"/>
      <c r="I1329" s="631"/>
    </row>
    <row r="1330" spans="1:9" ht="15.75">
      <c r="A1330" s="588"/>
      <c r="B1330" s="589"/>
      <c r="C1330" s="589"/>
      <c r="F1330" s="590"/>
      <c r="G1330" s="591"/>
      <c r="H1330" s="591"/>
      <c r="I1330" s="591"/>
    </row>
    <row r="1331" spans="1:9" ht="15.75">
      <c r="A1331" s="588"/>
      <c r="B1331" s="332"/>
      <c r="C1331" s="332"/>
      <c r="F1331" s="590"/>
      <c r="G1331" s="276"/>
      <c r="H1331" s="276"/>
      <c r="I1331" s="276"/>
    </row>
    <row r="1332" spans="1:9" ht="15.75">
      <c r="A1332" s="588"/>
      <c r="B1332" s="332"/>
      <c r="C1332" s="332"/>
      <c r="F1332" s="590"/>
      <c r="G1332" s="276"/>
      <c r="H1332" s="276"/>
      <c r="I1332" s="276"/>
    </row>
    <row r="1333" spans="1:9" ht="15.75">
      <c r="A1333" s="588"/>
      <c r="B1333" s="332"/>
      <c r="C1333" s="332"/>
      <c r="F1333" s="590"/>
      <c r="G1333" s="276"/>
      <c r="H1333" s="276"/>
      <c r="I1333" s="276"/>
    </row>
    <row r="1334" spans="1:9" ht="15.75">
      <c r="A1334" s="588"/>
      <c r="B1334" s="332"/>
      <c r="C1334" s="332"/>
      <c r="F1334" s="590"/>
      <c r="G1334" s="276"/>
      <c r="H1334" s="276"/>
      <c r="I1334" s="276"/>
    </row>
    <row r="1335" spans="1:9" ht="15.75">
      <c r="A1335" s="588"/>
      <c r="B1335" s="332"/>
      <c r="C1335" s="332"/>
      <c r="F1335" s="590"/>
      <c r="G1335" s="276"/>
      <c r="H1335" s="276"/>
      <c r="I1335" s="276"/>
    </row>
    <row r="1336" spans="1:9" ht="15.75">
      <c r="A1336" s="588"/>
      <c r="B1336" s="332"/>
      <c r="C1336" s="332"/>
      <c r="F1336" s="590"/>
      <c r="G1336" s="276"/>
      <c r="H1336" s="276"/>
      <c r="I1336" s="276"/>
    </row>
    <row r="1337" spans="1:9" ht="15.75">
      <c r="A1337" s="588"/>
      <c r="B1337" s="332"/>
      <c r="C1337" s="332"/>
      <c r="F1337" s="590"/>
      <c r="G1337" s="276"/>
      <c r="H1337" s="276"/>
      <c r="I1337" s="276"/>
    </row>
    <row r="1338" spans="1:9" ht="15.75">
      <c r="A1338" s="588"/>
      <c r="B1338" s="332"/>
      <c r="C1338" s="332"/>
      <c r="F1338" s="590"/>
      <c r="G1338" s="276"/>
      <c r="H1338" s="276"/>
      <c r="I1338" s="276"/>
    </row>
    <row r="1339" spans="1:9" ht="15.75">
      <c r="A1339" s="588"/>
      <c r="B1339" s="332"/>
      <c r="C1339" s="332"/>
      <c r="F1339" s="590"/>
      <c r="G1339" s="276"/>
      <c r="H1339" s="276"/>
      <c r="I1339" s="276"/>
    </row>
    <row r="1340" spans="1:9" ht="15.75">
      <c r="A1340" s="588"/>
      <c r="B1340" s="332"/>
      <c r="C1340" s="332"/>
      <c r="F1340" s="590"/>
      <c r="G1340" s="276"/>
      <c r="H1340" s="276"/>
      <c r="I1340" s="276"/>
    </row>
    <row r="1341" spans="1:9" ht="15.75">
      <c r="A1341" s="588"/>
      <c r="B1341" s="332"/>
      <c r="C1341" s="332"/>
      <c r="F1341" s="590"/>
      <c r="G1341" s="276"/>
      <c r="H1341" s="276"/>
      <c r="I1341" s="276"/>
    </row>
    <row r="1342" spans="1:9" ht="15.75">
      <c r="A1342" s="588"/>
      <c r="B1342" s="332"/>
      <c r="C1342" s="332"/>
      <c r="F1342" s="590"/>
      <c r="G1342" s="276"/>
      <c r="H1342" s="276"/>
      <c r="I1342" s="276"/>
    </row>
    <row r="1343" spans="1:9" ht="15.75">
      <c r="A1343" s="588"/>
      <c r="B1343" s="332"/>
      <c r="C1343" s="332"/>
      <c r="F1343" s="590"/>
      <c r="G1343" s="276"/>
      <c r="H1343" s="276"/>
      <c r="I1343" s="276"/>
    </row>
    <row r="1344" spans="1:9" ht="15.75">
      <c r="A1344" s="588"/>
      <c r="B1344" s="332"/>
      <c r="C1344" s="332"/>
      <c r="F1344" s="590"/>
      <c r="G1344" s="276"/>
      <c r="H1344" s="276"/>
      <c r="I1344" s="276"/>
    </row>
    <row r="1345" spans="1:9" ht="15.75">
      <c r="A1345" s="588"/>
      <c r="B1345" s="332"/>
      <c r="C1345" s="332"/>
      <c r="F1345" s="590"/>
      <c r="G1345" s="276"/>
      <c r="H1345" s="276"/>
      <c r="I1345" s="276"/>
    </row>
    <row r="1346" spans="1:9" ht="15.75">
      <c r="A1346" s="588"/>
      <c r="B1346" s="332"/>
      <c r="C1346" s="332"/>
      <c r="F1346" s="590"/>
      <c r="G1346" s="276"/>
      <c r="H1346" s="276"/>
      <c r="I1346" s="276"/>
    </row>
    <row r="1347" spans="1:9" ht="15.75">
      <c r="A1347" s="588"/>
      <c r="B1347" s="332"/>
      <c r="C1347" s="332"/>
      <c r="F1347" s="590"/>
      <c r="G1347" s="276"/>
      <c r="H1347" s="276"/>
      <c r="I1347" s="276"/>
    </row>
    <row r="1348" spans="1:9" ht="15.75">
      <c r="A1348" s="588"/>
      <c r="B1348" s="332"/>
      <c r="C1348" s="332"/>
      <c r="F1348" s="590"/>
      <c r="G1348" s="276"/>
      <c r="H1348" s="276"/>
      <c r="I1348" s="276"/>
    </row>
    <row r="1349" spans="1:9" ht="15.75">
      <c r="A1349" s="588"/>
      <c r="B1349" s="332"/>
      <c r="C1349" s="332"/>
      <c r="F1349" s="590"/>
      <c r="G1349" s="276"/>
      <c r="H1349" s="276"/>
      <c r="I1349" s="276"/>
    </row>
    <row r="1350" spans="1:9" ht="15.75">
      <c r="A1350" s="588"/>
      <c r="B1350" s="332"/>
      <c r="C1350" s="332"/>
      <c r="F1350" s="590"/>
      <c r="G1350" s="276"/>
      <c r="H1350" s="276"/>
      <c r="I1350" s="276"/>
    </row>
    <row r="1351" spans="1:9" ht="15.75">
      <c r="A1351" s="588"/>
      <c r="B1351" s="332"/>
      <c r="C1351" s="332"/>
      <c r="F1351" s="590"/>
      <c r="G1351" s="276"/>
      <c r="H1351" s="276"/>
      <c r="I1351" s="276"/>
    </row>
    <row r="1352" spans="1:9" ht="15.75">
      <c r="A1352" s="588"/>
      <c r="B1352" s="332"/>
      <c r="C1352" s="332"/>
      <c r="F1352" s="590"/>
      <c r="G1352" s="276"/>
      <c r="H1352" s="276"/>
      <c r="I1352" s="276"/>
    </row>
    <row r="1353" spans="1:9" ht="15.75">
      <c r="A1353" s="588"/>
      <c r="B1353" s="332"/>
      <c r="C1353" s="332"/>
      <c r="F1353" s="590"/>
      <c r="G1353" s="276"/>
      <c r="H1353" s="276"/>
      <c r="I1353" s="276"/>
    </row>
    <row r="1354" spans="1:9" ht="15.75">
      <c r="A1354" s="588"/>
      <c r="B1354" s="332"/>
      <c r="C1354" s="332"/>
      <c r="F1354" s="590"/>
      <c r="G1354" s="276"/>
      <c r="H1354" s="276"/>
      <c r="I1354" s="276"/>
    </row>
    <row r="1355" spans="1:9" ht="15.75">
      <c r="A1355" s="588"/>
      <c r="B1355" s="332"/>
      <c r="C1355" s="332"/>
      <c r="F1355" s="590"/>
      <c r="G1355" s="276"/>
      <c r="H1355" s="276"/>
      <c r="I1355" s="276"/>
    </row>
    <row r="1356" spans="1:9" ht="15.75">
      <c r="A1356" s="588"/>
      <c r="B1356" s="332"/>
      <c r="C1356" s="332"/>
      <c r="F1356" s="590"/>
      <c r="G1356" s="276"/>
      <c r="H1356" s="276"/>
      <c r="I1356" s="276"/>
    </row>
    <row r="1357" spans="1:9" ht="15.75">
      <c r="A1357" s="588"/>
      <c r="B1357" s="332"/>
      <c r="C1357" s="332"/>
      <c r="F1357" s="590"/>
      <c r="G1357" s="276"/>
      <c r="H1357" s="276"/>
      <c r="I1357" s="276"/>
    </row>
    <row r="1358" spans="1:9" ht="15.75">
      <c r="A1358" s="588"/>
      <c r="B1358" s="332"/>
      <c r="C1358" s="332"/>
      <c r="F1358" s="590"/>
      <c r="G1358" s="276"/>
      <c r="H1358" s="276"/>
      <c r="I1358" s="276"/>
    </row>
    <row r="1359" spans="1:9" ht="15.75">
      <c r="A1359" s="588"/>
      <c r="B1359" s="332"/>
      <c r="C1359" s="332"/>
      <c r="F1359" s="590"/>
      <c r="G1359" s="276"/>
      <c r="H1359" s="276"/>
      <c r="I1359" s="276"/>
    </row>
    <row r="1360" spans="1:9" ht="15.75">
      <c r="A1360" s="588"/>
      <c r="B1360" s="332"/>
      <c r="C1360" s="332"/>
      <c r="F1360" s="590"/>
      <c r="G1360" s="276"/>
      <c r="H1360" s="276"/>
      <c r="I1360" s="276"/>
    </row>
    <row r="1361" spans="1:9" ht="15.75">
      <c r="A1361" s="588"/>
      <c r="B1361" s="332"/>
      <c r="C1361" s="332"/>
      <c r="F1361" s="590"/>
      <c r="G1361" s="276"/>
      <c r="H1361" s="276"/>
      <c r="I1361" s="276"/>
    </row>
    <row r="1362" spans="1:6" ht="15">
      <c r="A1362" s="588"/>
      <c r="B1362" s="332"/>
      <c r="C1362" s="332"/>
      <c r="F1362" s="590"/>
    </row>
    <row r="1363" spans="1:6" ht="15">
      <c r="A1363" s="588"/>
      <c r="B1363" s="332"/>
      <c r="C1363" s="332"/>
      <c r="F1363" s="590"/>
    </row>
    <row r="1364" spans="1:6" ht="15">
      <c r="A1364" s="588"/>
      <c r="B1364" s="332"/>
      <c r="C1364" s="332"/>
      <c r="F1364" s="590"/>
    </row>
    <row r="1365" spans="1:9" ht="15">
      <c r="A1365" s="588"/>
      <c r="B1365" s="332"/>
      <c r="C1365" s="332"/>
      <c r="F1365" s="590"/>
      <c r="G1365" s="571"/>
      <c r="H1365" s="571"/>
      <c r="I1365" s="571"/>
    </row>
    <row r="1366" spans="1:9" ht="15">
      <c r="A1366" s="588"/>
      <c r="B1366" s="332"/>
      <c r="C1366" s="332"/>
      <c r="F1366" s="590"/>
      <c r="G1366" s="571"/>
      <c r="H1366" s="571"/>
      <c r="I1366" s="571"/>
    </row>
    <row r="1367" spans="1:9" ht="15">
      <c r="A1367" s="588"/>
      <c r="B1367" s="332"/>
      <c r="C1367" s="332"/>
      <c r="F1367" s="590"/>
      <c r="G1367" s="571"/>
      <c r="H1367" s="571"/>
      <c r="I1367" s="571"/>
    </row>
    <row r="1368" spans="1:9" ht="15">
      <c r="A1368" s="588"/>
      <c r="B1368" s="332"/>
      <c r="C1368" s="332"/>
      <c r="F1368" s="590"/>
      <c r="G1368" s="571"/>
      <c r="H1368" s="571"/>
      <c r="I1368" s="571"/>
    </row>
    <row r="1369" spans="1:9" ht="15">
      <c r="A1369" s="588"/>
      <c r="B1369" s="332"/>
      <c r="C1369" s="332"/>
      <c r="F1369" s="590"/>
      <c r="G1369" s="571"/>
      <c r="H1369" s="571"/>
      <c r="I1369" s="571"/>
    </row>
    <row r="1370" spans="1:9" ht="15">
      <c r="A1370" s="588"/>
      <c r="B1370" s="332"/>
      <c r="C1370" s="332"/>
      <c r="F1370" s="590"/>
      <c r="G1370" s="571"/>
      <c r="H1370" s="571"/>
      <c r="I1370" s="571"/>
    </row>
    <row r="1371" spans="1:9" ht="15">
      <c r="A1371" s="588"/>
      <c r="B1371" s="332"/>
      <c r="C1371" s="332"/>
      <c r="F1371" s="590"/>
      <c r="G1371" s="571"/>
      <c r="H1371" s="571"/>
      <c r="I1371" s="571"/>
    </row>
    <row r="1372" spans="1:9" ht="15">
      <c r="A1372" s="588"/>
      <c r="B1372" s="332"/>
      <c r="C1372" s="332"/>
      <c r="F1372" s="590"/>
      <c r="G1372" s="571"/>
      <c r="H1372" s="571"/>
      <c r="I1372" s="571"/>
    </row>
    <row r="1373" spans="1:9" ht="15">
      <c r="A1373" s="588"/>
      <c r="B1373" s="332"/>
      <c r="C1373" s="332"/>
      <c r="F1373" s="590"/>
      <c r="G1373" s="571"/>
      <c r="H1373" s="571"/>
      <c r="I1373" s="571"/>
    </row>
    <row r="1374" spans="1:9" ht="15">
      <c r="A1374" s="588"/>
      <c r="B1374" s="332"/>
      <c r="C1374" s="332"/>
      <c r="F1374" s="590"/>
      <c r="G1374" s="571"/>
      <c r="H1374" s="571"/>
      <c r="I1374" s="571"/>
    </row>
    <row r="1375" spans="1:9" ht="15">
      <c r="A1375" s="588"/>
      <c r="B1375" s="332"/>
      <c r="C1375" s="332"/>
      <c r="F1375" s="590"/>
      <c r="G1375" s="571"/>
      <c r="H1375" s="571"/>
      <c r="I1375" s="571"/>
    </row>
    <row r="1376" spans="1:9" ht="15">
      <c r="A1376" s="588"/>
      <c r="B1376" s="332"/>
      <c r="C1376" s="332"/>
      <c r="F1376" s="590"/>
      <c r="G1376" s="571"/>
      <c r="H1376" s="571"/>
      <c r="I1376" s="571"/>
    </row>
    <row r="1377" spans="1:9" ht="15">
      <c r="A1377" s="588"/>
      <c r="B1377" s="332"/>
      <c r="C1377" s="332"/>
      <c r="F1377" s="590"/>
      <c r="G1377" s="571"/>
      <c r="H1377" s="571"/>
      <c r="I1377" s="571"/>
    </row>
    <row r="1378" spans="1:9" ht="15">
      <c r="A1378" s="588"/>
      <c r="B1378" s="332"/>
      <c r="C1378" s="332"/>
      <c r="F1378" s="590"/>
      <c r="G1378" s="571"/>
      <c r="H1378" s="571"/>
      <c r="I1378" s="571"/>
    </row>
    <row r="1379" spans="1:9" ht="15">
      <c r="A1379" s="588"/>
      <c r="B1379" s="332"/>
      <c r="C1379" s="332"/>
      <c r="F1379" s="590"/>
      <c r="G1379" s="571"/>
      <c r="H1379" s="571"/>
      <c r="I1379" s="571"/>
    </row>
    <row r="1380" spans="1:9" ht="15">
      <c r="A1380" s="588"/>
      <c r="B1380" s="332"/>
      <c r="C1380" s="332"/>
      <c r="F1380" s="590"/>
      <c r="G1380" s="571"/>
      <c r="H1380" s="571"/>
      <c r="I1380" s="571"/>
    </row>
    <row r="1381" spans="1:9" ht="15">
      <c r="A1381" s="588"/>
      <c r="B1381" s="332"/>
      <c r="C1381" s="332"/>
      <c r="F1381" s="590"/>
      <c r="G1381" s="571"/>
      <c r="H1381" s="571"/>
      <c r="I1381" s="571"/>
    </row>
    <row r="1382" spans="1:9" ht="15">
      <c r="A1382" s="588"/>
      <c r="B1382" s="332"/>
      <c r="C1382" s="332"/>
      <c r="F1382" s="590"/>
      <c r="G1382" s="571"/>
      <c r="H1382" s="571"/>
      <c r="I1382" s="571"/>
    </row>
    <row r="1383" spans="1:9" ht="15">
      <c r="A1383" s="588"/>
      <c r="B1383" s="332"/>
      <c r="C1383" s="332"/>
      <c r="F1383" s="590"/>
      <c r="G1383" s="571"/>
      <c r="H1383" s="571"/>
      <c r="I1383" s="571"/>
    </row>
    <row r="1384" spans="1:9" ht="15">
      <c r="A1384" s="588"/>
      <c r="B1384" s="332"/>
      <c r="C1384" s="332"/>
      <c r="F1384" s="590"/>
      <c r="G1384" s="571"/>
      <c r="H1384" s="571"/>
      <c r="I1384" s="571"/>
    </row>
    <row r="1385" spans="1:9" ht="15">
      <c r="A1385" s="588"/>
      <c r="B1385" s="332"/>
      <c r="C1385" s="332"/>
      <c r="F1385" s="590"/>
      <c r="G1385" s="571"/>
      <c r="H1385" s="571"/>
      <c r="I1385" s="571"/>
    </row>
    <row r="1386" spans="1:9" ht="15">
      <c r="A1386" s="588"/>
      <c r="B1386" s="332"/>
      <c r="C1386" s="332"/>
      <c r="F1386" s="590"/>
      <c r="G1386" s="571"/>
      <c r="H1386" s="571"/>
      <c r="I1386" s="571"/>
    </row>
    <row r="1387" spans="1:9" ht="15">
      <c r="A1387" s="588"/>
      <c r="B1387" s="332"/>
      <c r="C1387" s="332"/>
      <c r="F1387" s="590"/>
      <c r="G1387" s="571"/>
      <c r="H1387" s="571"/>
      <c r="I1387" s="571"/>
    </row>
    <row r="1388" spans="1:9" ht="15">
      <c r="A1388" s="588"/>
      <c r="B1388" s="332"/>
      <c r="C1388" s="332"/>
      <c r="F1388" s="590"/>
      <c r="G1388" s="571"/>
      <c r="H1388" s="571"/>
      <c r="I1388" s="571"/>
    </row>
    <row r="1389" spans="1:9" ht="15">
      <c r="A1389" s="588"/>
      <c r="B1389" s="332"/>
      <c r="C1389" s="332"/>
      <c r="F1389" s="590"/>
      <c r="G1389" s="571"/>
      <c r="H1389" s="571"/>
      <c r="I1389" s="571"/>
    </row>
    <row r="1390" spans="1:9" ht="15">
      <c r="A1390" s="588"/>
      <c r="B1390" s="332"/>
      <c r="C1390" s="332"/>
      <c r="F1390" s="590"/>
      <c r="G1390" s="571"/>
      <c r="H1390" s="571"/>
      <c r="I1390" s="571"/>
    </row>
    <row r="1391" spans="1:9" ht="15">
      <c r="A1391" s="588"/>
      <c r="B1391" s="332"/>
      <c r="C1391" s="332"/>
      <c r="F1391" s="590"/>
      <c r="G1391" s="571"/>
      <c r="H1391" s="571"/>
      <c r="I1391" s="571"/>
    </row>
    <row r="1392" spans="1:9" ht="15">
      <c r="A1392" s="588"/>
      <c r="B1392" s="332"/>
      <c r="C1392" s="332"/>
      <c r="F1392" s="590"/>
      <c r="G1392" s="571"/>
      <c r="H1392" s="571"/>
      <c r="I1392" s="571"/>
    </row>
    <row r="1393" spans="1:9" ht="15">
      <c r="A1393" s="588"/>
      <c r="B1393" s="332"/>
      <c r="C1393" s="332"/>
      <c r="F1393" s="590"/>
      <c r="G1393" s="571"/>
      <c r="H1393" s="571"/>
      <c r="I1393" s="571"/>
    </row>
    <row r="1394" spans="1:9" ht="15">
      <c r="A1394" s="588"/>
      <c r="B1394" s="332"/>
      <c r="C1394" s="332"/>
      <c r="F1394" s="590"/>
      <c r="G1394" s="571"/>
      <c r="H1394" s="571"/>
      <c r="I1394" s="571"/>
    </row>
    <row r="1395" spans="1:9" ht="15">
      <c r="A1395" s="588"/>
      <c r="B1395" s="332"/>
      <c r="C1395" s="332"/>
      <c r="F1395" s="590"/>
      <c r="G1395" s="571"/>
      <c r="H1395" s="571"/>
      <c r="I1395" s="571"/>
    </row>
    <row r="1396" spans="1:9" ht="15">
      <c r="A1396" s="588"/>
      <c r="B1396" s="332"/>
      <c r="C1396" s="332"/>
      <c r="F1396" s="590"/>
      <c r="G1396" s="571"/>
      <c r="H1396" s="571"/>
      <c r="I1396" s="571"/>
    </row>
    <row r="1397" spans="1:9" ht="15">
      <c r="A1397" s="588"/>
      <c r="B1397" s="332"/>
      <c r="C1397" s="332"/>
      <c r="F1397" s="590"/>
      <c r="G1397" s="571"/>
      <c r="H1397" s="571"/>
      <c r="I1397" s="571"/>
    </row>
    <row r="1398" spans="1:9" ht="15">
      <c r="A1398" s="588"/>
      <c r="B1398" s="332"/>
      <c r="C1398" s="332"/>
      <c r="F1398" s="590"/>
      <c r="G1398" s="571"/>
      <c r="H1398" s="571"/>
      <c r="I1398" s="571"/>
    </row>
    <row r="1399" spans="1:9" ht="15">
      <c r="A1399" s="588"/>
      <c r="B1399" s="332"/>
      <c r="C1399" s="332"/>
      <c r="F1399" s="590"/>
      <c r="G1399" s="571"/>
      <c r="H1399" s="571"/>
      <c r="I1399" s="571"/>
    </row>
    <row r="1400" spans="1:9" ht="15">
      <c r="A1400" s="588"/>
      <c r="B1400" s="332"/>
      <c r="C1400" s="332"/>
      <c r="F1400" s="590"/>
      <c r="G1400" s="571"/>
      <c r="H1400" s="571"/>
      <c r="I1400" s="571"/>
    </row>
    <row r="1401" spans="1:9" ht="15">
      <c r="A1401" s="588"/>
      <c r="B1401" s="332"/>
      <c r="C1401" s="332"/>
      <c r="F1401" s="590"/>
      <c r="G1401" s="571"/>
      <c r="H1401" s="571"/>
      <c r="I1401" s="571"/>
    </row>
    <row r="1402" spans="1:9" ht="15">
      <c r="A1402" s="588"/>
      <c r="B1402" s="332"/>
      <c r="C1402" s="332"/>
      <c r="F1402" s="590"/>
      <c r="G1402" s="571"/>
      <c r="H1402" s="571"/>
      <c r="I1402" s="571"/>
    </row>
    <row r="1403" spans="1:9" ht="15">
      <c r="A1403" s="588"/>
      <c r="B1403" s="332"/>
      <c r="C1403" s="332"/>
      <c r="F1403" s="590"/>
      <c r="G1403" s="571"/>
      <c r="H1403" s="571"/>
      <c r="I1403" s="571"/>
    </row>
    <row r="1404" spans="1:9" ht="15">
      <c r="A1404" s="588"/>
      <c r="B1404" s="332"/>
      <c r="C1404" s="332"/>
      <c r="F1404" s="590"/>
      <c r="G1404" s="571"/>
      <c r="H1404" s="571"/>
      <c r="I1404" s="571"/>
    </row>
    <row r="1405" spans="1:9" ht="15">
      <c r="A1405" s="588"/>
      <c r="B1405" s="332"/>
      <c r="C1405" s="332"/>
      <c r="F1405" s="590"/>
      <c r="G1405" s="571"/>
      <c r="H1405" s="571"/>
      <c r="I1405" s="571"/>
    </row>
    <row r="1406" spans="1:9" ht="15">
      <c r="A1406" s="588"/>
      <c r="B1406" s="332"/>
      <c r="C1406" s="332"/>
      <c r="F1406" s="590"/>
      <c r="G1406" s="571"/>
      <c r="H1406" s="571"/>
      <c r="I1406" s="571"/>
    </row>
    <row r="1407" spans="1:9" ht="15">
      <c r="A1407" s="588"/>
      <c r="B1407" s="332"/>
      <c r="C1407" s="332"/>
      <c r="F1407" s="590"/>
      <c r="G1407" s="571"/>
      <c r="H1407" s="571"/>
      <c r="I1407" s="571"/>
    </row>
    <row r="1408" spans="1:9" ht="15">
      <c r="A1408" s="588"/>
      <c r="B1408" s="332"/>
      <c r="C1408" s="332"/>
      <c r="F1408" s="590"/>
      <c r="G1408" s="571"/>
      <c r="H1408" s="571"/>
      <c r="I1408" s="571"/>
    </row>
    <row r="1409" spans="1:9" ht="15">
      <c r="A1409" s="588"/>
      <c r="B1409" s="332"/>
      <c r="C1409" s="332"/>
      <c r="F1409" s="590"/>
      <c r="G1409" s="571"/>
      <c r="H1409" s="571"/>
      <c r="I1409" s="571"/>
    </row>
    <row r="1410" spans="1:9" ht="15">
      <c r="A1410" s="588"/>
      <c r="B1410" s="332"/>
      <c r="C1410" s="332"/>
      <c r="F1410" s="590"/>
      <c r="G1410" s="571"/>
      <c r="H1410" s="571"/>
      <c r="I1410" s="571"/>
    </row>
    <row r="1411" spans="1:9" ht="15">
      <c r="A1411" s="588"/>
      <c r="B1411" s="332"/>
      <c r="C1411" s="332"/>
      <c r="F1411" s="590"/>
      <c r="G1411" s="571"/>
      <c r="H1411" s="571"/>
      <c r="I1411" s="571"/>
    </row>
    <row r="1412" spans="1:9" ht="15">
      <c r="A1412" s="588"/>
      <c r="B1412" s="332"/>
      <c r="C1412" s="332"/>
      <c r="F1412" s="590"/>
      <c r="G1412" s="571"/>
      <c r="H1412" s="571"/>
      <c r="I1412" s="571"/>
    </row>
    <row r="1413" spans="1:9" ht="15">
      <c r="A1413" s="588"/>
      <c r="B1413" s="332"/>
      <c r="C1413" s="332"/>
      <c r="F1413" s="590"/>
      <c r="G1413" s="571"/>
      <c r="H1413" s="571"/>
      <c r="I1413" s="571"/>
    </row>
    <row r="1414" spans="1:9" ht="15">
      <c r="A1414" s="588"/>
      <c r="B1414" s="332"/>
      <c r="C1414" s="332"/>
      <c r="F1414" s="590"/>
      <c r="G1414" s="571"/>
      <c r="H1414" s="571"/>
      <c r="I1414" s="571"/>
    </row>
    <row r="1415" spans="1:9" ht="15">
      <c r="A1415" s="588"/>
      <c r="B1415" s="332"/>
      <c r="C1415" s="332"/>
      <c r="F1415" s="590"/>
      <c r="G1415" s="571"/>
      <c r="H1415" s="571"/>
      <c r="I1415" s="571"/>
    </row>
    <row r="1416" spans="1:9" ht="15">
      <c r="A1416" s="588"/>
      <c r="B1416" s="332"/>
      <c r="C1416" s="332"/>
      <c r="F1416" s="590"/>
      <c r="G1416" s="571"/>
      <c r="H1416" s="571"/>
      <c r="I1416" s="571"/>
    </row>
    <row r="1417" spans="1:9" ht="15">
      <c r="A1417" s="588"/>
      <c r="B1417" s="332"/>
      <c r="C1417" s="332"/>
      <c r="F1417" s="590"/>
      <c r="G1417" s="571"/>
      <c r="H1417" s="571"/>
      <c r="I1417" s="571"/>
    </row>
    <row r="1418" spans="1:9" ht="15">
      <c r="A1418" s="588"/>
      <c r="B1418" s="332"/>
      <c r="C1418" s="332"/>
      <c r="F1418" s="590"/>
      <c r="G1418" s="571"/>
      <c r="H1418" s="571"/>
      <c r="I1418" s="571"/>
    </row>
    <row r="1419" spans="1:9" ht="15">
      <c r="A1419" s="588"/>
      <c r="B1419" s="332"/>
      <c r="C1419" s="332"/>
      <c r="F1419" s="590"/>
      <c r="G1419" s="571"/>
      <c r="H1419" s="571"/>
      <c r="I1419" s="571"/>
    </row>
    <row r="1420" spans="1:9" ht="15">
      <c r="A1420" s="588"/>
      <c r="B1420" s="332"/>
      <c r="C1420" s="332"/>
      <c r="F1420" s="590"/>
      <c r="G1420" s="571"/>
      <c r="H1420" s="571"/>
      <c r="I1420" s="571"/>
    </row>
    <row r="1421" spans="1:9" ht="15">
      <c r="A1421" s="588"/>
      <c r="B1421" s="332"/>
      <c r="C1421" s="332"/>
      <c r="F1421" s="590"/>
      <c r="G1421" s="571"/>
      <c r="H1421" s="571"/>
      <c r="I1421" s="571"/>
    </row>
    <row r="1422" spans="1:9" ht="15">
      <c r="A1422" s="588"/>
      <c r="B1422" s="332"/>
      <c r="C1422" s="332"/>
      <c r="F1422" s="590"/>
      <c r="G1422" s="571"/>
      <c r="H1422" s="571"/>
      <c r="I1422" s="571"/>
    </row>
    <row r="1423" spans="1:9" ht="15">
      <c r="A1423" s="588"/>
      <c r="B1423" s="332"/>
      <c r="C1423" s="332"/>
      <c r="F1423" s="590"/>
      <c r="G1423" s="571"/>
      <c r="H1423" s="571"/>
      <c r="I1423" s="571"/>
    </row>
    <row r="1424" spans="1:9" ht="15">
      <c r="A1424" s="588"/>
      <c r="B1424" s="332"/>
      <c r="C1424" s="332"/>
      <c r="F1424" s="590"/>
      <c r="G1424" s="571"/>
      <c r="H1424" s="571"/>
      <c r="I1424" s="571"/>
    </row>
    <row r="1425" spans="1:9" ht="15">
      <c r="A1425" s="588"/>
      <c r="B1425" s="332"/>
      <c r="C1425" s="332"/>
      <c r="F1425" s="590"/>
      <c r="G1425" s="571"/>
      <c r="H1425" s="571"/>
      <c r="I1425" s="571"/>
    </row>
    <row r="1426" spans="1:9" ht="15">
      <c r="A1426" s="588"/>
      <c r="B1426" s="332"/>
      <c r="C1426" s="332"/>
      <c r="F1426" s="590"/>
      <c r="G1426" s="571"/>
      <c r="H1426" s="571"/>
      <c r="I1426" s="571"/>
    </row>
    <row r="1427" spans="1:9" ht="15">
      <c r="A1427" s="588"/>
      <c r="B1427" s="332"/>
      <c r="C1427" s="332"/>
      <c r="F1427" s="590"/>
      <c r="G1427" s="571"/>
      <c r="H1427" s="571"/>
      <c r="I1427" s="571"/>
    </row>
    <row r="1428" spans="1:9" ht="15">
      <c r="A1428" s="588"/>
      <c r="B1428" s="332"/>
      <c r="C1428" s="332"/>
      <c r="F1428" s="590"/>
      <c r="G1428" s="571"/>
      <c r="H1428" s="571"/>
      <c r="I1428" s="571"/>
    </row>
    <row r="1429" spans="1:9" ht="15">
      <c r="A1429" s="588"/>
      <c r="B1429" s="332"/>
      <c r="C1429" s="332"/>
      <c r="F1429" s="590"/>
      <c r="G1429" s="571"/>
      <c r="H1429" s="571"/>
      <c r="I1429" s="571"/>
    </row>
    <row r="1430" spans="1:9" ht="15">
      <c r="A1430" s="588"/>
      <c r="B1430" s="332"/>
      <c r="C1430" s="332"/>
      <c r="F1430" s="590"/>
      <c r="G1430" s="571"/>
      <c r="H1430" s="571"/>
      <c r="I1430" s="571"/>
    </row>
    <row r="1431" spans="1:9" ht="15">
      <c r="A1431" s="588"/>
      <c r="B1431" s="332"/>
      <c r="C1431" s="332"/>
      <c r="F1431" s="590"/>
      <c r="G1431" s="571"/>
      <c r="H1431" s="571"/>
      <c r="I1431" s="571"/>
    </row>
    <row r="1432" spans="1:9" ht="15">
      <c r="A1432" s="588"/>
      <c r="B1432" s="332"/>
      <c r="C1432" s="332"/>
      <c r="F1432" s="590"/>
      <c r="G1432" s="571"/>
      <c r="H1432" s="571"/>
      <c r="I1432" s="571"/>
    </row>
    <row r="1433" spans="1:9" ht="15">
      <c r="A1433" s="588"/>
      <c r="B1433" s="332"/>
      <c r="C1433" s="332"/>
      <c r="F1433" s="590"/>
      <c r="G1433" s="571"/>
      <c r="H1433" s="571"/>
      <c r="I1433" s="571"/>
    </row>
    <row r="1434" spans="1:9" ht="15">
      <c r="A1434" s="588"/>
      <c r="B1434" s="332"/>
      <c r="C1434" s="332"/>
      <c r="F1434" s="590"/>
      <c r="G1434" s="571"/>
      <c r="H1434" s="571"/>
      <c r="I1434" s="571"/>
    </row>
    <row r="1435" spans="1:9" ht="15">
      <c r="A1435" s="588"/>
      <c r="B1435" s="332"/>
      <c r="C1435" s="332"/>
      <c r="F1435" s="590"/>
      <c r="G1435" s="571"/>
      <c r="H1435" s="571"/>
      <c r="I1435" s="571"/>
    </row>
    <row r="1436" spans="1:9" ht="15">
      <c r="A1436" s="588"/>
      <c r="B1436" s="332"/>
      <c r="C1436" s="332"/>
      <c r="F1436" s="590"/>
      <c r="G1436" s="571"/>
      <c r="H1436" s="571"/>
      <c r="I1436" s="571"/>
    </row>
    <row r="1437" spans="1:9" ht="15">
      <c r="A1437" s="588"/>
      <c r="B1437" s="332"/>
      <c r="C1437" s="332"/>
      <c r="F1437" s="590"/>
      <c r="G1437" s="571"/>
      <c r="H1437" s="571"/>
      <c r="I1437" s="571"/>
    </row>
    <row r="1438" spans="1:9" ht="15">
      <c r="A1438" s="588"/>
      <c r="B1438" s="332"/>
      <c r="C1438" s="332"/>
      <c r="F1438" s="590"/>
      <c r="G1438" s="571"/>
      <c r="H1438" s="571"/>
      <c r="I1438" s="571"/>
    </row>
    <row r="1439" spans="1:9" ht="15">
      <c r="A1439" s="588"/>
      <c r="B1439" s="332"/>
      <c r="C1439" s="332"/>
      <c r="F1439" s="590"/>
      <c r="G1439" s="571"/>
      <c r="H1439" s="571"/>
      <c r="I1439" s="571"/>
    </row>
    <row r="1440" spans="1:9" ht="15">
      <c r="A1440" s="588"/>
      <c r="B1440" s="332"/>
      <c r="C1440" s="332"/>
      <c r="F1440" s="590"/>
      <c r="G1440" s="571"/>
      <c r="H1440" s="571"/>
      <c r="I1440" s="571"/>
    </row>
    <row r="1441" spans="1:9" ht="15">
      <c r="A1441" s="588"/>
      <c r="B1441" s="332"/>
      <c r="C1441" s="332"/>
      <c r="F1441" s="590"/>
      <c r="G1441" s="571"/>
      <c r="H1441" s="571"/>
      <c r="I1441" s="571"/>
    </row>
    <row r="1442" spans="1:9" ht="15">
      <c r="A1442" s="588"/>
      <c r="B1442" s="332"/>
      <c r="C1442" s="332"/>
      <c r="F1442" s="590"/>
      <c r="G1442" s="571"/>
      <c r="H1442" s="571"/>
      <c r="I1442" s="571"/>
    </row>
    <row r="1443" spans="1:9" ht="15">
      <c r="A1443" s="588"/>
      <c r="B1443" s="332"/>
      <c r="C1443" s="332"/>
      <c r="F1443" s="590"/>
      <c r="G1443" s="571"/>
      <c r="H1443" s="571"/>
      <c r="I1443" s="571"/>
    </row>
    <row r="1444" spans="1:9" ht="15">
      <c r="A1444" s="588"/>
      <c r="B1444" s="332"/>
      <c r="C1444" s="332"/>
      <c r="F1444" s="590"/>
      <c r="G1444" s="571"/>
      <c r="H1444" s="571"/>
      <c r="I1444" s="571"/>
    </row>
    <row r="1445" spans="1:9" ht="15">
      <c r="A1445" s="588"/>
      <c r="B1445" s="332"/>
      <c r="C1445" s="332"/>
      <c r="F1445" s="590"/>
      <c r="G1445" s="571"/>
      <c r="H1445" s="571"/>
      <c r="I1445" s="571"/>
    </row>
    <row r="1446" spans="1:9" ht="15">
      <c r="A1446" s="588"/>
      <c r="B1446" s="332"/>
      <c r="C1446" s="332"/>
      <c r="F1446" s="590"/>
      <c r="G1446" s="571"/>
      <c r="H1446" s="571"/>
      <c r="I1446" s="571"/>
    </row>
    <row r="1447" spans="1:9" ht="15">
      <c r="A1447" s="588"/>
      <c r="B1447" s="332"/>
      <c r="C1447" s="332"/>
      <c r="F1447" s="590"/>
      <c r="G1447" s="571"/>
      <c r="H1447" s="571"/>
      <c r="I1447" s="571"/>
    </row>
    <row r="1448" spans="1:9" ht="15">
      <c r="A1448" s="588"/>
      <c r="B1448" s="332"/>
      <c r="C1448" s="332"/>
      <c r="F1448" s="590"/>
      <c r="G1448" s="571"/>
      <c r="H1448" s="571"/>
      <c r="I1448" s="571"/>
    </row>
    <row r="1449" spans="1:9" ht="15">
      <c r="A1449" s="588"/>
      <c r="B1449" s="332"/>
      <c r="C1449" s="332"/>
      <c r="F1449" s="590"/>
      <c r="G1449" s="571"/>
      <c r="H1449" s="571"/>
      <c r="I1449" s="571"/>
    </row>
    <row r="1450" spans="1:9" ht="15">
      <c r="A1450" s="588"/>
      <c r="B1450" s="332"/>
      <c r="C1450" s="332"/>
      <c r="F1450" s="590"/>
      <c r="G1450" s="571"/>
      <c r="H1450" s="571"/>
      <c r="I1450" s="571"/>
    </row>
    <row r="1451" spans="1:9" ht="15">
      <c r="A1451" s="588"/>
      <c r="B1451" s="332"/>
      <c r="C1451" s="332"/>
      <c r="F1451" s="590"/>
      <c r="G1451" s="571"/>
      <c r="H1451" s="571"/>
      <c r="I1451" s="571"/>
    </row>
    <row r="1452" spans="1:9" ht="15">
      <c r="A1452" s="588"/>
      <c r="B1452" s="332"/>
      <c r="C1452" s="332"/>
      <c r="F1452" s="590"/>
      <c r="G1452" s="571"/>
      <c r="H1452" s="571"/>
      <c r="I1452" s="571"/>
    </row>
    <row r="1453" spans="1:9" ht="15">
      <c r="A1453" s="588"/>
      <c r="B1453" s="332"/>
      <c r="C1453" s="332"/>
      <c r="F1453" s="590"/>
      <c r="G1453" s="571"/>
      <c r="H1453" s="571"/>
      <c r="I1453" s="571"/>
    </row>
    <row r="1454" spans="1:9" ht="15">
      <c r="A1454" s="588"/>
      <c r="B1454" s="332"/>
      <c r="C1454" s="332"/>
      <c r="F1454" s="590"/>
      <c r="G1454" s="571"/>
      <c r="H1454" s="571"/>
      <c r="I1454" s="571"/>
    </row>
    <row r="1455" spans="1:9" ht="15">
      <c r="A1455" s="588"/>
      <c r="B1455" s="332"/>
      <c r="C1455" s="332"/>
      <c r="F1455" s="590"/>
      <c r="G1455" s="571"/>
      <c r="H1455" s="571"/>
      <c r="I1455" s="571"/>
    </row>
    <row r="1456" spans="1:9" ht="15">
      <c r="A1456" s="588"/>
      <c r="B1456" s="332"/>
      <c r="C1456" s="332"/>
      <c r="F1456" s="590"/>
      <c r="G1456" s="571"/>
      <c r="H1456" s="571"/>
      <c r="I1456" s="571"/>
    </row>
    <row r="1457" spans="1:9" ht="15">
      <c r="A1457" s="588"/>
      <c r="B1457" s="332"/>
      <c r="C1457" s="332"/>
      <c r="F1457" s="590"/>
      <c r="G1457" s="571"/>
      <c r="H1457" s="571"/>
      <c r="I1457" s="571"/>
    </row>
    <row r="1458" spans="1:9" ht="15">
      <c r="A1458" s="588"/>
      <c r="B1458" s="332"/>
      <c r="C1458" s="332"/>
      <c r="F1458" s="590"/>
      <c r="G1458" s="571"/>
      <c r="H1458" s="571"/>
      <c r="I1458" s="571"/>
    </row>
    <row r="1459" spans="1:9" ht="15">
      <c r="A1459" s="588"/>
      <c r="B1459" s="332"/>
      <c r="C1459" s="332"/>
      <c r="F1459" s="590"/>
      <c r="G1459" s="571"/>
      <c r="H1459" s="571"/>
      <c r="I1459" s="571"/>
    </row>
    <row r="1460" spans="1:9" ht="15">
      <c r="A1460" s="588"/>
      <c r="B1460" s="332"/>
      <c r="C1460" s="332"/>
      <c r="F1460" s="590"/>
      <c r="G1460" s="571"/>
      <c r="H1460" s="571"/>
      <c r="I1460" s="571"/>
    </row>
    <row r="1461" spans="1:9" ht="15">
      <c r="A1461" s="588"/>
      <c r="B1461" s="332"/>
      <c r="C1461" s="332"/>
      <c r="F1461" s="590"/>
      <c r="G1461" s="571"/>
      <c r="H1461" s="571"/>
      <c r="I1461" s="571"/>
    </row>
    <row r="1462" spans="1:9" ht="15">
      <c r="A1462" s="588"/>
      <c r="B1462" s="332"/>
      <c r="C1462" s="332"/>
      <c r="F1462" s="590"/>
      <c r="G1462" s="571"/>
      <c r="H1462" s="571"/>
      <c r="I1462" s="571"/>
    </row>
    <row r="1463" spans="1:9" ht="15">
      <c r="A1463" s="588"/>
      <c r="B1463" s="332"/>
      <c r="C1463" s="332"/>
      <c r="F1463" s="590"/>
      <c r="G1463" s="571"/>
      <c r="H1463" s="571"/>
      <c r="I1463" s="571"/>
    </row>
    <row r="1464" spans="1:9" ht="15">
      <c r="A1464" s="588"/>
      <c r="B1464" s="332"/>
      <c r="C1464" s="332"/>
      <c r="F1464" s="590"/>
      <c r="G1464" s="571"/>
      <c r="H1464" s="571"/>
      <c r="I1464" s="571"/>
    </row>
    <row r="1465" spans="1:9" ht="15">
      <c r="A1465" s="588"/>
      <c r="B1465" s="332"/>
      <c r="C1465" s="332"/>
      <c r="F1465" s="590"/>
      <c r="G1465" s="571"/>
      <c r="H1465" s="571"/>
      <c r="I1465" s="571"/>
    </row>
    <row r="1466" spans="1:9" ht="15">
      <c r="A1466" s="588"/>
      <c r="B1466" s="332"/>
      <c r="C1466" s="332"/>
      <c r="F1466" s="590"/>
      <c r="G1466" s="571"/>
      <c r="H1466" s="571"/>
      <c r="I1466" s="571"/>
    </row>
    <row r="1467" spans="1:9" ht="15">
      <c r="A1467" s="588"/>
      <c r="B1467" s="332"/>
      <c r="C1467" s="332"/>
      <c r="F1467" s="590"/>
      <c r="G1467" s="571"/>
      <c r="H1467" s="571"/>
      <c r="I1467" s="571"/>
    </row>
    <row r="1468" spans="1:9" ht="15">
      <c r="A1468" s="588"/>
      <c r="B1468" s="332"/>
      <c r="C1468" s="332"/>
      <c r="F1468" s="590"/>
      <c r="G1468" s="571"/>
      <c r="H1468" s="571"/>
      <c r="I1468" s="571"/>
    </row>
    <row r="1469" spans="1:9" ht="15">
      <c r="A1469" s="588"/>
      <c r="B1469" s="332"/>
      <c r="C1469" s="332"/>
      <c r="F1469" s="590"/>
      <c r="G1469" s="571"/>
      <c r="H1469" s="571"/>
      <c r="I1469" s="571"/>
    </row>
    <row r="1470" spans="1:9" ht="15">
      <c r="A1470" s="588"/>
      <c r="B1470" s="332"/>
      <c r="C1470" s="332"/>
      <c r="F1470" s="590"/>
      <c r="G1470" s="571"/>
      <c r="H1470" s="571"/>
      <c r="I1470" s="571"/>
    </row>
    <row r="1471" spans="1:9" ht="15">
      <c r="A1471" s="588"/>
      <c r="B1471" s="332"/>
      <c r="C1471" s="332"/>
      <c r="F1471" s="590"/>
      <c r="G1471" s="571"/>
      <c r="H1471" s="571"/>
      <c r="I1471" s="571"/>
    </row>
    <row r="1472" spans="1:9" ht="15">
      <c r="A1472" s="588"/>
      <c r="B1472" s="332"/>
      <c r="C1472" s="332"/>
      <c r="F1472" s="590"/>
      <c r="G1472" s="571"/>
      <c r="H1472" s="571"/>
      <c r="I1472" s="571"/>
    </row>
    <row r="1473" spans="1:9" ht="15">
      <c r="A1473" s="588"/>
      <c r="B1473" s="332"/>
      <c r="C1473" s="332"/>
      <c r="F1473" s="590"/>
      <c r="G1473" s="571"/>
      <c r="H1473" s="571"/>
      <c r="I1473" s="571"/>
    </row>
    <row r="1474" spans="1:9" ht="15">
      <c r="A1474" s="588"/>
      <c r="B1474" s="332"/>
      <c r="C1474" s="332"/>
      <c r="F1474" s="590"/>
      <c r="G1474" s="571"/>
      <c r="H1474" s="571"/>
      <c r="I1474" s="571"/>
    </row>
    <row r="1475" spans="1:9" ht="15">
      <c r="A1475" s="588"/>
      <c r="B1475" s="332"/>
      <c r="C1475" s="332"/>
      <c r="F1475" s="590"/>
      <c r="G1475" s="571"/>
      <c r="H1475" s="571"/>
      <c r="I1475" s="571"/>
    </row>
    <row r="1476" spans="1:9" ht="15">
      <c r="A1476" s="588"/>
      <c r="B1476" s="332"/>
      <c r="C1476" s="332"/>
      <c r="F1476" s="590"/>
      <c r="G1476" s="571"/>
      <c r="H1476" s="571"/>
      <c r="I1476" s="571"/>
    </row>
    <row r="1477" spans="1:9" ht="15">
      <c r="A1477" s="588"/>
      <c r="B1477" s="332"/>
      <c r="C1477" s="332"/>
      <c r="F1477" s="590"/>
      <c r="G1477" s="571"/>
      <c r="H1477" s="571"/>
      <c r="I1477" s="571"/>
    </row>
    <row r="1478" spans="1:9" ht="15">
      <c r="A1478" s="588"/>
      <c r="B1478" s="332"/>
      <c r="C1478" s="332"/>
      <c r="F1478" s="590"/>
      <c r="G1478" s="571"/>
      <c r="H1478" s="571"/>
      <c r="I1478" s="571"/>
    </row>
    <row r="1479" spans="1:9" ht="15">
      <c r="A1479" s="588"/>
      <c r="B1479" s="332"/>
      <c r="C1479" s="332"/>
      <c r="F1479" s="590"/>
      <c r="G1479" s="571"/>
      <c r="H1479" s="571"/>
      <c r="I1479" s="571"/>
    </row>
    <row r="1480" spans="1:9" ht="15">
      <c r="A1480" s="588"/>
      <c r="B1480" s="332"/>
      <c r="C1480" s="332"/>
      <c r="F1480" s="590"/>
      <c r="G1480" s="571"/>
      <c r="H1480" s="571"/>
      <c r="I1480" s="571"/>
    </row>
    <row r="1481" spans="1:9" ht="15">
      <c r="A1481" s="588"/>
      <c r="B1481" s="332"/>
      <c r="C1481" s="332"/>
      <c r="F1481" s="590"/>
      <c r="G1481" s="571"/>
      <c r="H1481" s="571"/>
      <c r="I1481" s="571"/>
    </row>
    <row r="1482" spans="1:9" ht="15">
      <c r="A1482" s="588"/>
      <c r="B1482" s="332"/>
      <c r="C1482" s="332"/>
      <c r="F1482" s="590"/>
      <c r="G1482" s="571"/>
      <c r="H1482" s="571"/>
      <c r="I1482" s="571"/>
    </row>
    <row r="1483" spans="1:9" ht="15">
      <c r="A1483" s="588"/>
      <c r="B1483" s="332"/>
      <c r="C1483" s="332"/>
      <c r="F1483" s="590"/>
      <c r="G1483" s="571"/>
      <c r="H1483" s="571"/>
      <c r="I1483" s="571"/>
    </row>
    <row r="1484" spans="1:9" ht="15">
      <c r="A1484" s="588"/>
      <c r="B1484" s="332"/>
      <c r="C1484" s="332"/>
      <c r="F1484" s="590"/>
      <c r="G1484" s="571"/>
      <c r="H1484" s="571"/>
      <c r="I1484" s="571"/>
    </row>
    <row r="1485" spans="1:9" ht="15">
      <c r="A1485" s="588"/>
      <c r="B1485" s="332"/>
      <c r="C1485" s="332"/>
      <c r="F1485" s="590"/>
      <c r="G1485" s="571"/>
      <c r="H1485" s="571"/>
      <c r="I1485" s="571"/>
    </row>
    <row r="1486" spans="1:9" ht="15">
      <c r="A1486" s="588"/>
      <c r="B1486" s="332"/>
      <c r="C1486" s="332"/>
      <c r="F1486" s="590"/>
      <c r="G1486" s="571"/>
      <c r="H1486" s="571"/>
      <c r="I1486" s="571"/>
    </row>
    <row r="1487" spans="1:9" ht="15">
      <c r="A1487" s="588"/>
      <c r="B1487" s="332"/>
      <c r="C1487" s="332"/>
      <c r="F1487" s="590"/>
      <c r="G1487" s="571"/>
      <c r="H1487" s="571"/>
      <c r="I1487" s="571"/>
    </row>
    <row r="1488" spans="1:9" ht="15">
      <c r="A1488" s="588"/>
      <c r="B1488" s="332"/>
      <c r="C1488" s="332"/>
      <c r="F1488" s="590"/>
      <c r="G1488" s="571"/>
      <c r="H1488" s="571"/>
      <c r="I1488" s="571"/>
    </row>
    <row r="1489" spans="1:9" ht="15">
      <c r="A1489" s="588"/>
      <c r="B1489" s="332"/>
      <c r="C1489" s="332"/>
      <c r="F1489" s="590"/>
      <c r="G1489" s="571"/>
      <c r="H1489" s="571"/>
      <c r="I1489" s="571"/>
    </row>
    <row r="1490" spans="1:9" ht="15">
      <c r="A1490" s="588"/>
      <c r="B1490" s="332"/>
      <c r="C1490" s="332"/>
      <c r="F1490" s="590"/>
      <c r="G1490" s="571"/>
      <c r="H1490" s="571"/>
      <c r="I1490" s="571"/>
    </row>
    <row r="1491" spans="1:9" ht="15">
      <c r="A1491" s="588"/>
      <c r="B1491" s="332"/>
      <c r="C1491" s="332"/>
      <c r="F1491" s="590"/>
      <c r="G1491" s="571"/>
      <c r="H1491" s="571"/>
      <c r="I1491" s="571"/>
    </row>
    <row r="1492" spans="1:9" ht="15">
      <c r="A1492" s="588"/>
      <c r="B1492" s="332"/>
      <c r="C1492" s="332"/>
      <c r="F1492" s="590"/>
      <c r="G1492" s="571"/>
      <c r="H1492" s="571"/>
      <c r="I1492" s="571"/>
    </row>
    <row r="1493" spans="1:9" ht="15">
      <c r="A1493" s="588"/>
      <c r="B1493" s="332"/>
      <c r="C1493" s="332"/>
      <c r="F1493" s="590"/>
      <c r="G1493" s="571"/>
      <c r="H1493" s="571"/>
      <c r="I1493" s="571"/>
    </row>
    <row r="1494" spans="1:9" ht="15">
      <c r="A1494" s="588"/>
      <c r="B1494" s="332"/>
      <c r="C1494" s="332"/>
      <c r="F1494" s="590"/>
      <c r="G1494" s="571"/>
      <c r="H1494" s="571"/>
      <c r="I1494" s="571"/>
    </row>
    <row r="1495" spans="1:9" ht="15">
      <c r="A1495" s="588"/>
      <c r="B1495" s="332"/>
      <c r="C1495" s="332"/>
      <c r="F1495" s="590"/>
      <c r="G1495" s="571"/>
      <c r="H1495" s="571"/>
      <c r="I1495" s="571"/>
    </row>
    <row r="1496" spans="1:9" ht="15">
      <c r="A1496" s="588"/>
      <c r="B1496" s="332"/>
      <c r="C1496" s="332"/>
      <c r="F1496" s="590"/>
      <c r="G1496" s="571"/>
      <c r="H1496" s="571"/>
      <c r="I1496" s="571"/>
    </row>
    <row r="1497" spans="1:9" ht="15">
      <c r="A1497" s="588"/>
      <c r="B1497" s="332"/>
      <c r="C1497" s="332"/>
      <c r="F1497" s="590"/>
      <c r="G1497" s="571"/>
      <c r="H1497" s="571"/>
      <c r="I1497" s="571"/>
    </row>
    <row r="1498" spans="1:9" ht="15">
      <c r="A1498" s="588"/>
      <c r="B1498" s="332"/>
      <c r="C1498" s="332"/>
      <c r="F1498" s="590"/>
      <c r="G1498" s="571"/>
      <c r="H1498" s="571"/>
      <c r="I1498" s="571"/>
    </row>
    <row r="1499" spans="1:9" ht="15">
      <c r="A1499" s="588"/>
      <c r="B1499" s="332"/>
      <c r="C1499" s="332"/>
      <c r="F1499" s="590"/>
      <c r="G1499" s="571"/>
      <c r="H1499" s="571"/>
      <c r="I1499" s="571"/>
    </row>
    <row r="1500" spans="1:9" ht="15">
      <c r="A1500" s="588"/>
      <c r="B1500" s="332"/>
      <c r="C1500" s="332"/>
      <c r="F1500" s="590"/>
      <c r="G1500" s="571"/>
      <c r="H1500" s="571"/>
      <c r="I1500" s="571"/>
    </row>
    <row r="1501" spans="1:9" ht="15">
      <c r="A1501" s="588"/>
      <c r="B1501" s="332"/>
      <c r="C1501" s="332"/>
      <c r="F1501" s="590"/>
      <c r="G1501" s="571"/>
      <c r="H1501" s="571"/>
      <c r="I1501" s="571"/>
    </row>
    <row r="1502" spans="1:9" ht="15">
      <c r="A1502" s="588"/>
      <c r="B1502" s="332"/>
      <c r="C1502" s="332"/>
      <c r="F1502" s="590"/>
      <c r="G1502" s="571"/>
      <c r="H1502" s="571"/>
      <c r="I1502" s="571"/>
    </row>
    <row r="1503" spans="1:9" ht="15">
      <c r="A1503" s="588"/>
      <c r="B1503" s="332"/>
      <c r="C1503" s="332"/>
      <c r="F1503" s="590"/>
      <c r="G1503" s="571"/>
      <c r="H1503" s="571"/>
      <c r="I1503" s="571"/>
    </row>
    <row r="1504" spans="1:9" ht="15">
      <c r="A1504" s="588"/>
      <c r="B1504" s="332"/>
      <c r="C1504" s="332"/>
      <c r="F1504" s="590"/>
      <c r="G1504" s="571"/>
      <c r="H1504" s="571"/>
      <c r="I1504" s="571"/>
    </row>
    <row r="1505" spans="1:9" ht="15">
      <c r="A1505" s="588"/>
      <c r="B1505" s="332"/>
      <c r="C1505" s="332"/>
      <c r="F1505" s="590"/>
      <c r="G1505" s="571"/>
      <c r="H1505" s="571"/>
      <c r="I1505" s="571"/>
    </row>
    <row r="1506" spans="1:9" ht="15">
      <c r="A1506" s="588"/>
      <c r="B1506" s="332"/>
      <c r="C1506" s="332"/>
      <c r="F1506" s="590"/>
      <c r="G1506" s="571"/>
      <c r="H1506" s="571"/>
      <c r="I1506" s="571"/>
    </row>
    <row r="1507" spans="1:9" ht="15">
      <c r="A1507" s="588"/>
      <c r="B1507" s="332"/>
      <c r="C1507" s="332"/>
      <c r="F1507" s="590"/>
      <c r="G1507" s="571"/>
      <c r="H1507" s="571"/>
      <c r="I1507" s="571"/>
    </row>
    <row r="1508" spans="1:9" ht="15">
      <c r="A1508" s="588"/>
      <c r="B1508" s="332"/>
      <c r="C1508" s="332"/>
      <c r="F1508" s="590"/>
      <c r="G1508" s="571"/>
      <c r="H1508" s="571"/>
      <c r="I1508" s="571"/>
    </row>
    <row r="1509" spans="1:9" ht="15">
      <c r="A1509" s="588"/>
      <c r="B1509" s="332"/>
      <c r="C1509" s="332"/>
      <c r="F1509" s="590"/>
      <c r="G1509" s="571"/>
      <c r="H1509" s="571"/>
      <c r="I1509" s="571"/>
    </row>
    <row r="1510" spans="1:9" ht="15">
      <c r="A1510" s="588"/>
      <c r="B1510" s="332"/>
      <c r="C1510" s="332"/>
      <c r="F1510" s="590"/>
      <c r="G1510" s="571"/>
      <c r="H1510" s="571"/>
      <c r="I1510" s="571"/>
    </row>
    <row r="1511" spans="1:9" ht="15">
      <c r="A1511" s="588"/>
      <c r="B1511" s="332"/>
      <c r="C1511" s="332"/>
      <c r="F1511" s="590"/>
      <c r="G1511" s="571"/>
      <c r="H1511" s="571"/>
      <c r="I1511" s="571"/>
    </row>
    <row r="1512" spans="1:9" ht="15">
      <c r="A1512" s="588"/>
      <c r="B1512" s="332"/>
      <c r="C1512" s="332"/>
      <c r="F1512" s="590"/>
      <c r="G1512" s="571"/>
      <c r="H1512" s="571"/>
      <c r="I1512" s="571"/>
    </row>
    <row r="1513" spans="1:9" ht="15">
      <c r="A1513" s="588"/>
      <c r="B1513" s="332"/>
      <c r="C1513" s="332"/>
      <c r="F1513" s="590"/>
      <c r="G1513" s="571"/>
      <c r="H1513" s="571"/>
      <c r="I1513" s="571"/>
    </row>
    <row r="1514" spans="1:9" ht="15">
      <c r="A1514" s="588"/>
      <c r="B1514" s="332"/>
      <c r="C1514" s="332"/>
      <c r="F1514" s="590"/>
      <c r="G1514" s="571"/>
      <c r="H1514" s="571"/>
      <c r="I1514" s="571"/>
    </row>
    <row r="1515" spans="1:9" ht="15">
      <c r="A1515" s="588"/>
      <c r="B1515" s="332"/>
      <c r="C1515" s="332"/>
      <c r="F1515" s="590"/>
      <c r="G1515" s="571"/>
      <c r="H1515" s="571"/>
      <c r="I1515" s="571"/>
    </row>
    <row r="1516" spans="1:9" ht="15">
      <c r="A1516" s="588"/>
      <c r="B1516" s="332"/>
      <c r="C1516" s="332"/>
      <c r="F1516" s="590"/>
      <c r="G1516" s="571"/>
      <c r="H1516" s="571"/>
      <c r="I1516" s="571"/>
    </row>
    <row r="1517" spans="1:9" ht="15">
      <c r="A1517" s="588"/>
      <c r="B1517" s="332"/>
      <c r="C1517" s="332"/>
      <c r="F1517" s="590"/>
      <c r="G1517" s="571"/>
      <c r="H1517" s="571"/>
      <c r="I1517" s="571"/>
    </row>
    <row r="1518" spans="1:9" ht="15">
      <c r="A1518" s="588"/>
      <c r="B1518" s="332"/>
      <c r="C1518" s="332"/>
      <c r="F1518" s="590"/>
      <c r="G1518" s="571"/>
      <c r="H1518" s="571"/>
      <c r="I1518" s="571"/>
    </row>
    <row r="1519" spans="1:9" ht="15">
      <c r="A1519" s="588"/>
      <c r="B1519" s="332"/>
      <c r="C1519" s="332"/>
      <c r="F1519" s="590"/>
      <c r="G1519" s="571"/>
      <c r="H1519" s="571"/>
      <c r="I1519" s="571"/>
    </row>
    <row r="1520" spans="1:9" ht="15">
      <c r="A1520" s="588"/>
      <c r="B1520" s="332"/>
      <c r="C1520" s="332"/>
      <c r="F1520" s="590"/>
      <c r="G1520" s="571"/>
      <c r="H1520" s="571"/>
      <c r="I1520" s="571"/>
    </row>
    <row r="1521" spans="1:9" ht="15">
      <c r="A1521" s="588"/>
      <c r="B1521" s="332"/>
      <c r="C1521" s="332"/>
      <c r="F1521" s="590"/>
      <c r="G1521" s="571"/>
      <c r="H1521" s="571"/>
      <c r="I1521" s="571"/>
    </row>
    <row r="1522" spans="1:9" ht="15">
      <c r="A1522" s="588"/>
      <c r="B1522" s="332"/>
      <c r="C1522" s="332"/>
      <c r="F1522" s="590"/>
      <c r="G1522" s="571"/>
      <c r="H1522" s="571"/>
      <c r="I1522" s="571"/>
    </row>
    <row r="1523" spans="1:9" ht="15">
      <c r="A1523" s="588"/>
      <c r="B1523" s="332"/>
      <c r="C1523" s="332"/>
      <c r="F1523" s="590"/>
      <c r="G1523" s="571"/>
      <c r="H1523" s="571"/>
      <c r="I1523" s="571"/>
    </row>
    <row r="1524" spans="1:9" ht="15">
      <c r="A1524" s="588"/>
      <c r="B1524" s="332"/>
      <c r="C1524" s="332"/>
      <c r="F1524" s="590"/>
      <c r="G1524" s="571"/>
      <c r="H1524" s="571"/>
      <c r="I1524" s="571"/>
    </row>
    <row r="1525" spans="1:9" ht="15">
      <c r="A1525" s="588"/>
      <c r="B1525" s="332"/>
      <c r="C1525" s="332"/>
      <c r="F1525" s="590"/>
      <c r="G1525" s="571"/>
      <c r="H1525" s="571"/>
      <c r="I1525" s="571"/>
    </row>
    <row r="1526" spans="1:9" ht="15">
      <c r="A1526" s="588"/>
      <c r="B1526" s="332"/>
      <c r="C1526" s="332"/>
      <c r="F1526" s="590"/>
      <c r="G1526" s="571"/>
      <c r="H1526" s="571"/>
      <c r="I1526" s="571"/>
    </row>
    <row r="1527" spans="1:9" ht="15">
      <c r="A1527" s="588"/>
      <c r="B1527" s="332"/>
      <c r="C1527" s="332"/>
      <c r="F1527" s="590"/>
      <c r="G1527" s="571"/>
      <c r="H1527" s="571"/>
      <c r="I1527" s="571"/>
    </row>
    <row r="1528" spans="1:9" ht="15">
      <c r="A1528" s="588"/>
      <c r="B1528" s="332"/>
      <c r="C1528" s="332"/>
      <c r="F1528" s="590"/>
      <c r="G1528" s="571"/>
      <c r="H1528" s="571"/>
      <c r="I1528" s="571"/>
    </row>
    <row r="1529" spans="1:9" ht="15">
      <c r="A1529" s="588"/>
      <c r="B1529" s="332"/>
      <c r="C1529" s="332"/>
      <c r="F1529" s="590"/>
      <c r="G1529" s="571"/>
      <c r="H1529" s="571"/>
      <c r="I1529" s="571"/>
    </row>
    <row r="1530" spans="1:9" ht="15">
      <c r="A1530" s="588"/>
      <c r="B1530" s="332"/>
      <c r="C1530" s="332"/>
      <c r="F1530" s="590"/>
      <c r="G1530" s="571"/>
      <c r="H1530" s="571"/>
      <c r="I1530" s="571"/>
    </row>
    <row r="1531" spans="1:9" ht="15">
      <c r="A1531" s="588"/>
      <c r="B1531" s="332"/>
      <c r="C1531" s="332"/>
      <c r="F1531" s="590"/>
      <c r="G1531" s="571"/>
      <c r="H1531" s="571"/>
      <c r="I1531" s="571"/>
    </row>
    <row r="1532" spans="1:9" ht="15">
      <c r="A1532" s="588"/>
      <c r="B1532" s="332"/>
      <c r="C1532" s="332"/>
      <c r="F1532" s="590"/>
      <c r="G1532" s="571"/>
      <c r="H1532" s="571"/>
      <c r="I1532" s="571"/>
    </row>
    <row r="1533" spans="1:9" ht="15">
      <c r="A1533" s="588"/>
      <c r="B1533" s="332"/>
      <c r="C1533" s="332"/>
      <c r="F1533" s="590"/>
      <c r="G1533" s="571"/>
      <c r="H1533" s="571"/>
      <c r="I1533" s="571"/>
    </row>
    <row r="1534" spans="1:9" ht="15">
      <c r="A1534" s="588"/>
      <c r="B1534" s="332"/>
      <c r="C1534" s="332"/>
      <c r="F1534" s="590"/>
      <c r="G1534" s="571"/>
      <c r="H1534" s="571"/>
      <c r="I1534" s="571"/>
    </row>
    <row r="1535" spans="1:9" ht="15">
      <c r="A1535" s="588"/>
      <c r="B1535" s="332"/>
      <c r="C1535" s="332"/>
      <c r="F1535" s="590"/>
      <c r="G1535" s="571"/>
      <c r="H1535" s="571"/>
      <c r="I1535" s="571"/>
    </row>
    <row r="1536" spans="1:9" ht="15">
      <c r="A1536" s="588"/>
      <c r="B1536" s="332"/>
      <c r="C1536" s="332"/>
      <c r="F1536" s="590"/>
      <c r="G1536" s="571"/>
      <c r="H1536" s="571"/>
      <c r="I1536" s="571"/>
    </row>
    <row r="1537" spans="1:9" ht="15">
      <c r="A1537" s="588"/>
      <c r="B1537" s="332"/>
      <c r="C1537" s="332"/>
      <c r="F1537" s="590"/>
      <c r="G1537" s="571"/>
      <c r="H1537" s="571"/>
      <c r="I1537" s="571"/>
    </row>
    <row r="1538" spans="1:9" ht="15">
      <c r="A1538" s="588"/>
      <c r="B1538" s="332"/>
      <c r="C1538" s="332"/>
      <c r="F1538" s="590"/>
      <c r="G1538" s="571"/>
      <c r="H1538" s="571"/>
      <c r="I1538" s="571"/>
    </row>
    <row r="1539" spans="1:9" ht="15">
      <c r="A1539" s="588"/>
      <c r="B1539" s="332"/>
      <c r="C1539" s="332"/>
      <c r="F1539" s="590"/>
      <c r="G1539" s="571"/>
      <c r="H1539" s="571"/>
      <c r="I1539" s="571"/>
    </row>
    <row r="1540" spans="1:9" ht="15">
      <c r="A1540" s="588"/>
      <c r="B1540" s="332"/>
      <c r="C1540" s="332"/>
      <c r="F1540" s="590"/>
      <c r="G1540" s="571"/>
      <c r="H1540" s="571"/>
      <c r="I1540" s="571"/>
    </row>
    <row r="1541" spans="1:9" ht="15">
      <c r="A1541" s="588"/>
      <c r="B1541" s="332"/>
      <c r="C1541" s="332"/>
      <c r="F1541" s="590"/>
      <c r="G1541" s="571"/>
      <c r="H1541" s="571"/>
      <c r="I1541" s="571"/>
    </row>
    <row r="1542" spans="1:9" ht="15">
      <c r="A1542" s="588"/>
      <c r="B1542" s="332"/>
      <c r="C1542" s="332"/>
      <c r="F1542" s="590"/>
      <c r="G1542" s="571"/>
      <c r="H1542" s="571"/>
      <c r="I1542" s="571"/>
    </row>
    <row r="1543" spans="1:9" ht="15">
      <c r="A1543" s="588"/>
      <c r="B1543" s="332"/>
      <c r="C1543" s="332"/>
      <c r="F1543" s="590"/>
      <c r="G1543" s="571"/>
      <c r="H1543" s="571"/>
      <c r="I1543" s="571"/>
    </row>
    <row r="1544" spans="1:9" ht="15">
      <c r="A1544" s="588"/>
      <c r="B1544" s="332"/>
      <c r="C1544" s="332"/>
      <c r="F1544" s="590"/>
      <c r="G1544" s="571"/>
      <c r="H1544" s="571"/>
      <c r="I1544" s="571"/>
    </row>
    <row r="1545" spans="1:9" ht="15">
      <c r="A1545" s="588"/>
      <c r="B1545" s="332"/>
      <c r="C1545" s="332"/>
      <c r="F1545" s="590"/>
      <c r="G1545" s="571"/>
      <c r="H1545" s="571"/>
      <c r="I1545" s="571"/>
    </row>
    <row r="1546" spans="1:9" ht="15">
      <c r="A1546" s="588"/>
      <c r="B1546" s="332"/>
      <c r="C1546" s="332"/>
      <c r="F1546" s="590"/>
      <c r="G1546" s="571"/>
      <c r="H1546" s="571"/>
      <c r="I1546" s="571"/>
    </row>
    <row r="1547" spans="1:9" ht="15">
      <c r="A1547" s="588"/>
      <c r="B1547" s="332"/>
      <c r="C1547" s="332"/>
      <c r="F1547" s="590"/>
      <c r="G1547" s="571"/>
      <c r="H1547" s="571"/>
      <c r="I1547" s="571"/>
    </row>
    <row r="1548" spans="1:9" ht="15">
      <c r="A1548" s="588"/>
      <c r="B1548" s="332"/>
      <c r="C1548" s="332"/>
      <c r="F1548" s="590"/>
      <c r="G1548" s="571"/>
      <c r="H1548" s="571"/>
      <c r="I1548" s="571"/>
    </row>
    <row r="1549" spans="1:9" ht="15">
      <c r="A1549" s="588"/>
      <c r="B1549" s="332"/>
      <c r="C1549" s="332"/>
      <c r="F1549" s="590"/>
      <c r="G1549" s="571"/>
      <c r="H1549" s="571"/>
      <c r="I1549" s="571"/>
    </row>
    <row r="1550" spans="1:9" ht="15">
      <c r="A1550" s="588"/>
      <c r="B1550" s="332"/>
      <c r="C1550" s="332"/>
      <c r="F1550" s="590"/>
      <c r="G1550" s="571"/>
      <c r="H1550" s="571"/>
      <c r="I1550" s="571"/>
    </row>
    <row r="1551" spans="1:9" ht="15">
      <c r="A1551" s="588"/>
      <c r="B1551" s="332"/>
      <c r="C1551" s="332"/>
      <c r="F1551" s="590"/>
      <c r="G1551" s="571"/>
      <c r="H1551" s="571"/>
      <c r="I1551" s="571"/>
    </row>
    <row r="1552" spans="1:9" ht="15">
      <c r="A1552" s="588"/>
      <c r="B1552" s="332"/>
      <c r="C1552" s="332"/>
      <c r="F1552" s="590"/>
      <c r="G1552" s="571"/>
      <c r="H1552" s="571"/>
      <c r="I1552" s="571"/>
    </row>
    <row r="1553" spans="1:9" ht="15">
      <c r="A1553" s="588"/>
      <c r="B1553" s="332"/>
      <c r="C1553" s="332"/>
      <c r="F1553" s="590"/>
      <c r="G1553" s="571"/>
      <c r="H1553" s="571"/>
      <c r="I1553" s="571"/>
    </row>
    <row r="1554" spans="1:9" ht="15">
      <c r="A1554" s="588"/>
      <c r="B1554" s="332"/>
      <c r="C1554" s="332"/>
      <c r="F1554" s="590"/>
      <c r="G1554" s="571"/>
      <c r="H1554" s="571"/>
      <c r="I1554" s="571"/>
    </row>
    <row r="1555" spans="1:9" ht="15">
      <c r="A1555" s="588"/>
      <c r="B1555" s="332"/>
      <c r="C1555" s="332"/>
      <c r="F1555" s="590"/>
      <c r="G1555" s="571"/>
      <c r="H1555" s="571"/>
      <c r="I1555" s="571"/>
    </row>
    <row r="1556" spans="1:9" ht="15">
      <c r="A1556" s="588"/>
      <c r="B1556" s="332"/>
      <c r="C1556" s="332"/>
      <c r="F1556" s="590"/>
      <c r="G1556" s="571"/>
      <c r="H1556" s="571"/>
      <c r="I1556" s="571"/>
    </row>
    <row r="1557" spans="1:9" ht="15">
      <c r="A1557" s="588"/>
      <c r="B1557" s="332"/>
      <c r="C1557" s="332"/>
      <c r="F1557" s="590"/>
      <c r="G1557" s="571"/>
      <c r="H1557" s="571"/>
      <c r="I1557" s="571"/>
    </row>
    <row r="1558" spans="1:9" ht="15">
      <c r="A1558" s="588"/>
      <c r="B1558" s="332"/>
      <c r="C1558" s="332"/>
      <c r="F1558" s="590"/>
      <c r="G1558" s="571"/>
      <c r="H1558" s="571"/>
      <c r="I1558" s="571"/>
    </row>
    <row r="1559" spans="1:9" ht="15">
      <c r="A1559" s="588"/>
      <c r="B1559" s="332"/>
      <c r="C1559" s="332"/>
      <c r="F1559" s="590"/>
      <c r="G1559" s="571"/>
      <c r="H1559" s="571"/>
      <c r="I1559" s="571"/>
    </row>
    <row r="1560" spans="1:9" ht="15">
      <c r="A1560" s="588"/>
      <c r="B1560" s="332"/>
      <c r="C1560" s="332"/>
      <c r="F1560" s="590"/>
      <c r="G1560" s="571"/>
      <c r="H1560" s="571"/>
      <c r="I1560" s="571"/>
    </row>
    <row r="1561" spans="1:9" ht="15">
      <c r="A1561" s="588"/>
      <c r="B1561" s="332"/>
      <c r="C1561" s="332"/>
      <c r="F1561" s="590"/>
      <c r="G1561" s="571"/>
      <c r="H1561" s="571"/>
      <c r="I1561" s="571"/>
    </row>
    <row r="1562" spans="1:9" ht="15">
      <c r="A1562" s="588"/>
      <c r="B1562" s="332"/>
      <c r="C1562" s="332"/>
      <c r="F1562" s="590"/>
      <c r="G1562" s="571"/>
      <c r="H1562" s="571"/>
      <c r="I1562" s="571"/>
    </row>
    <row r="1563" spans="1:9" ht="15">
      <c r="A1563" s="588"/>
      <c r="B1563" s="332"/>
      <c r="C1563" s="332"/>
      <c r="F1563" s="590"/>
      <c r="G1563" s="571"/>
      <c r="H1563" s="571"/>
      <c r="I1563" s="571"/>
    </row>
    <row r="1564" spans="1:9" ht="15">
      <c r="A1564" s="588"/>
      <c r="B1564" s="332"/>
      <c r="C1564" s="332"/>
      <c r="F1564" s="590"/>
      <c r="G1564" s="571"/>
      <c r="H1564" s="571"/>
      <c r="I1564" s="571"/>
    </row>
    <row r="1565" spans="1:9" ht="15">
      <c r="A1565" s="588"/>
      <c r="B1565" s="332"/>
      <c r="C1565" s="332"/>
      <c r="F1565" s="590"/>
      <c r="G1565" s="571"/>
      <c r="H1565" s="571"/>
      <c r="I1565" s="571"/>
    </row>
    <row r="1566" spans="1:9" ht="15">
      <c r="A1566" s="588"/>
      <c r="B1566" s="332"/>
      <c r="C1566" s="332"/>
      <c r="F1566" s="590"/>
      <c r="G1566" s="571"/>
      <c r="H1566" s="571"/>
      <c r="I1566" s="571"/>
    </row>
    <row r="1567" spans="1:9" ht="15">
      <c r="A1567" s="588"/>
      <c r="B1567" s="332"/>
      <c r="C1567" s="332"/>
      <c r="F1567" s="590"/>
      <c r="G1567" s="571"/>
      <c r="H1567" s="571"/>
      <c r="I1567" s="571"/>
    </row>
    <row r="1568" spans="1:9" ht="15">
      <c r="A1568" s="588"/>
      <c r="B1568" s="332"/>
      <c r="C1568" s="332"/>
      <c r="F1568" s="590"/>
      <c r="G1568" s="571"/>
      <c r="H1568" s="571"/>
      <c r="I1568" s="571"/>
    </row>
    <row r="1569" spans="1:9" ht="15">
      <c r="A1569" s="588"/>
      <c r="B1569" s="332"/>
      <c r="C1569" s="332"/>
      <c r="F1569" s="590"/>
      <c r="G1569" s="571"/>
      <c r="H1569" s="571"/>
      <c r="I1569" s="571"/>
    </row>
    <row r="1570" spans="1:9" ht="15">
      <c r="A1570" s="588"/>
      <c r="B1570" s="332"/>
      <c r="C1570" s="332"/>
      <c r="F1570" s="590"/>
      <c r="G1570" s="571"/>
      <c r="H1570" s="571"/>
      <c r="I1570" s="571"/>
    </row>
    <row r="1571" spans="1:9" ht="15">
      <c r="A1571" s="588"/>
      <c r="B1571" s="332"/>
      <c r="C1571" s="332"/>
      <c r="F1571" s="590"/>
      <c r="G1571" s="571"/>
      <c r="H1571" s="571"/>
      <c r="I1571" s="571"/>
    </row>
    <row r="1572" spans="1:9" ht="15">
      <c r="A1572" s="588"/>
      <c r="B1572" s="332"/>
      <c r="C1572" s="332"/>
      <c r="F1572" s="590"/>
      <c r="G1572" s="571"/>
      <c r="H1572" s="571"/>
      <c r="I1572" s="571"/>
    </row>
    <row r="1573" spans="1:9" ht="15">
      <c r="A1573" s="588"/>
      <c r="B1573" s="332"/>
      <c r="C1573" s="332"/>
      <c r="F1573" s="590"/>
      <c r="G1573" s="571"/>
      <c r="H1573" s="571"/>
      <c r="I1573" s="571"/>
    </row>
    <row r="1574" spans="1:9" ht="15">
      <c r="A1574" s="588"/>
      <c r="B1574" s="332"/>
      <c r="C1574" s="332"/>
      <c r="F1574" s="590"/>
      <c r="G1574" s="571"/>
      <c r="H1574" s="571"/>
      <c r="I1574" s="571"/>
    </row>
    <row r="1575" spans="1:9" ht="15">
      <c r="A1575" s="588"/>
      <c r="B1575" s="332"/>
      <c r="C1575" s="332"/>
      <c r="F1575" s="590"/>
      <c r="G1575" s="571"/>
      <c r="H1575" s="571"/>
      <c r="I1575" s="571"/>
    </row>
    <row r="1576" spans="1:9" ht="15">
      <c r="A1576" s="588"/>
      <c r="B1576" s="332"/>
      <c r="C1576" s="332"/>
      <c r="F1576" s="590"/>
      <c r="G1576" s="571"/>
      <c r="H1576" s="571"/>
      <c r="I1576" s="571"/>
    </row>
    <row r="1577" spans="1:9" ht="15">
      <c r="A1577" s="588"/>
      <c r="B1577" s="332"/>
      <c r="C1577" s="332"/>
      <c r="F1577" s="590"/>
      <c r="G1577" s="571"/>
      <c r="H1577" s="571"/>
      <c r="I1577" s="571"/>
    </row>
    <row r="1578" spans="1:9" ht="15">
      <c r="A1578" s="588"/>
      <c r="B1578" s="332"/>
      <c r="C1578" s="332"/>
      <c r="F1578" s="590"/>
      <c r="G1578" s="571"/>
      <c r="H1578" s="571"/>
      <c r="I1578" s="571"/>
    </row>
    <row r="1579" spans="1:9" ht="15">
      <c r="A1579" s="588"/>
      <c r="B1579" s="332"/>
      <c r="C1579" s="332"/>
      <c r="F1579" s="590"/>
      <c r="G1579" s="571"/>
      <c r="H1579" s="571"/>
      <c r="I1579" s="571"/>
    </row>
    <row r="1580" spans="1:9" ht="15">
      <c r="A1580" s="588"/>
      <c r="B1580" s="332"/>
      <c r="C1580" s="332"/>
      <c r="F1580" s="590"/>
      <c r="G1580" s="571"/>
      <c r="H1580" s="571"/>
      <c r="I1580" s="571"/>
    </row>
    <row r="1581" spans="1:9" ht="15">
      <c r="A1581" s="588"/>
      <c r="B1581" s="332"/>
      <c r="C1581" s="332"/>
      <c r="F1581" s="590"/>
      <c r="G1581" s="571"/>
      <c r="H1581" s="571"/>
      <c r="I1581" s="571"/>
    </row>
    <row r="1582" spans="1:9" ht="15">
      <c r="A1582" s="588"/>
      <c r="B1582" s="332"/>
      <c r="C1582" s="332"/>
      <c r="F1582" s="590"/>
      <c r="G1582" s="571"/>
      <c r="H1582" s="571"/>
      <c r="I1582" s="571"/>
    </row>
    <row r="1583" spans="1:9" ht="15">
      <c r="A1583" s="588"/>
      <c r="B1583" s="332"/>
      <c r="C1583" s="332"/>
      <c r="F1583" s="590"/>
      <c r="G1583" s="571"/>
      <c r="H1583" s="571"/>
      <c r="I1583" s="571"/>
    </row>
    <row r="1584" spans="1:9" ht="15">
      <c r="A1584" s="588"/>
      <c r="B1584" s="332"/>
      <c r="C1584" s="332"/>
      <c r="F1584" s="590"/>
      <c r="G1584" s="571"/>
      <c r="H1584" s="571"/>
      <c r="I1584" s="571"/>
    </row>
    <row r="1585" spans="1:9" ht="15">
      <c r="A1585" s="588"/>
      <c r="B1585" s="332"/>
      <c r="C1585" s="332"/>
      <c r="F1585" s="590"/>
      <c r="G1585" s="571"/>
      <c r="H1585" s="571"/>
      <c r="I1585" s="571"/>
    </row>
    <row r="1586" spans="1:9" ht="15">
      <c r="A1586" s="588"/>
      <c r="B1586" s="332"/>
      <c r="C1586" s="332"/>
      <c r="F1586" s="590"/>
      <c r="G1586" s="571"/>
      <c r="H1586" s="571"/>
      <c r="I1586" s="571"/>
    </row>
    <row r="1587" spans="1:9" ht="15">
      <c r="A1587" s="588"/>
      <c r="B1587" s="332"/>
      <c r="C1587" s="332"/>
      <c r="F1587" s="590"/>
      <c r="G1587" s="571"/>
      <c r="H1587" s="571"/>
      <c r="I1587" s="571"/>
    </row>
    <row r="1588" spans="1:9" ht="15">
      <c r="A1588" s="588"/>
      <c r="B1588" s="332"/>
      <c r="C1588" s="332"/>
      <c r="F1588" s="590"/>
      <c r="G1588" s="571"/>
      <c r="H1588" s="571"/>
      <c r="I1588" s="571"/>
    </row>
    <row r="1589" spans="1:9" ht="15">
      <c r="A1589" s="588"/>
      <c r="B1589" s="332"/>
      <c r="C1589" s="332"/>
      <c r="F1589" s="590"/>
      <c r="G1589" s="571"/>
      <c r="H1589" s="571"/>
      <c r="I1589" s="571"/>
    </row>
    <row r="1590" spans="1:9" ht="15">
      <c r="A1590" s="588"/>
      <c r="B1590" s="332"/>
      <c r="C1590" s="332"/>
      <c r="F1590" s="590"/>
      <c r="G1590" s="571"/>
      <c r="H1590" s="571"/>
      <c r="I1590" s="571"/>
    </row>
    <row r="1591" spans="1:9" ht="15">
      <c r="A1591" s="588"/>
      <c r="B1591" s="332"/>
      <c r="C1591" s="332"/>
      <c r="F1591" s="590"/>
      <c r="G1591" s="571"/>
      <c r="H1591" s="571"/>
      <c r="I1591" s="571"/>
    </row>
    <row r="1592" spans="1:9" ht="15">
      <c r="A1592" s="588"/>
      <c r="B1592" s="332"/>
      <c r="C1592" s="332"/>
      <c r="F1592" s="590"/>
      <c r="G1592" s="571"/>
      <c r="H1592" s="571"/>
      <c r="I1592" s="571"/>
    </row>
    <row r="1593" spans="1:9" ht="15">
      <c r="A1593" s="588"/>
      <c r="B1593" s="332"/>
      <c r="C1593" s="332"/>
      <c r="F1593" s="590"/>
      <c r="G1593" s="571"/>
      <c r="H1593" s="571"/>
      <c r="I1593" s="571"/>
    </row>
    <row r="1594" spans="1:9" ht="15">
      <c r="A1594" s="588"/>
      <c r="B1594" s="332"/>
      <c r="C1594" s="332"/>
      <c r="F1594" s="590"/>
      <c r="G1594" s="571"/>
      <c r="H1594" s="571"/>
      <c r="I1594" s="571"/>
    </row>
    <row r="1595" spans="1:9" ht="15">
      <c r="A1595" s="588"/>
      <c r="B1595" s="332"/>
      <c r="C1595" s="332"/>
      <c r="F1595" s="590"/>
      <c r="G1595" s="571"/>
      <c r="H1595" s="571"/>
      <c r="I1595" s="571"/>
    </row>
    <row r="1596" spans="1:9" ht="15">
      <c r="A1596" s="588"/>
      <c r="B1596" s="332"/>
      <c r="C1596" s="332"/>
      <c r="F1596" s="590"/>
      <c r="G1596" s="571"/>
      <c r="H1596" s="571"/>
      <c r="I1596" s="571"/>
    </row>
    <row r="1597" spans="1:9" ht="15">
      <c r="A1597" s="588"/>
      <c r="B1597" s="332"/>
      <c r="C1597" s="332"/>
      <c r="F1597" s="590"/>
      <c r="G1597" s="571"/>
      <c r="H1597" s="571"/>
      <c r="I1597" s="571"/>
    </row>
    <row r="1598" spans="1:9" ht="15">
      <c r="A1598" s="588"/>
      <c r="B1598" s="332"/>
      <c r="C1598" s="332"/>
      <c r="F1598" s="590"/>
      <c r="G1598" s="571"/>
      <c r="H1598" s="571"/>
      <c r="I1598" s="571"/>
    </row>
    <row r="1599" spans="1:9" ht="15">
      <c r="A1599" s="588"/>
      <c r="B1599" s="332"/>
      <c r="C1599" s="332"/>
      <c r="F1599" s="590"/>
      <c r="G1599" s="571"/>
      <c r="H1599" s="571"/>
      <c r="I1599" s="571"/>
    </row>
    <row r="1600" spans="1:9" ht="15">
      <c r="A1600" s="588"/>
      <c r="B1600" s="332"/>
      <c r="C1600" s="332"/>
      <c r="F1600" s="590"/>
      <c r="G1600" s="571"/>
      <c r="H1600" s="571"/>
      <c r="I1600" s="571"/>
    </row>
    <row r="1601" spans="1:9" ht="15">
      <c r="A1601" s="588"/>
      <c r="B1601" s="332"/>
      <c r="C1601" s="332"/>
      <c r="F1601" s="590"/>
      <c r="G1601" s="571"/>
      <c r="H1601" s="571"/>
      <c r="I1601" s="571"/>
    </row>
    <row r="1602" spans="1:9" ht="15">
      <c r="A1602" s="588"/>
      <c r="B1602" s="332"/>
      <c r="C1602" s="332"/>
      <c r="F1602" s="590"/>
      <c r="G1602" s="571"/>
      <c r="H1602" s="571"/>
      <c r="I1602" s="571"/>
    </row>
    <row r="1603" spans="1:9" ht="15">
      <c r="A1603" s="588"/>
      <c r="B1603" s="332"/>
      <c r="C1603" s="332"/>
      <c r="F1603" s="590"/>
      <c r="G1603" s="571"/>
      <c r="H1603" s="571"/>
      <c r="I1603" s="571"/>
    </row>
    <row r="1604" spans="1:9" ht="15">
      <c r="A1604" s="588"/>
      <c r="B1604" s="332"/>
      <c r="C1604" s="332"/>
      <c r="F1604" s="590"/>
      <c r="G1604" s="571"/>
      <c r="H1604" s="571"/>
      <c r="I1604" s="571"/>
    </row>
    <row r="1605" spans="1:9" ht="15">
      <c r="A1605" s="588"/>
      <c r="B1605" s="332"/>
      <c r="C1605" s="332"/>
      <c r="F1605" s="590"/>
      <c r="G1605" s="571"/>
      <c r="H1605" s="571"/>
      <c r="I1605" s="571"/>
    </row>
    <row r="1606" spans="1:9" ht="15">
      <c r="A1606" s="588"/>
      <c r="B1606" s="332"/>
      <c r="C1606" s="332"/>
      <c r="F1606" s="590"/>
      <c r="G1606" s="571"/>
      <c r="H1606" s="571"/>
      <c r="I1606" s="571"/>
    </row>
    <row r="1607" spans="1:9" ht="15">
      <c r="A1607" s="588"/>
      <c r="B1607" s="332"/>
      <c r="C1607" s="332"/>
      <c r="F1607" s="590"/>
      <c r="G1607" s="571"/>
      <c r="H1607" s="571"/>
      <c r="I1607" s="571"/>
    </row>
    <row r="1608" spans="1:9" ht="15">
      <c r="A1608" s="588"/>
      <c r="B1608" s="332"/>
      <c r="C1608" s="332"/>
      <c r="F1608" s="590"/>
      <c r="G1608" s="571"/>
      <c r="H1608" s="571"/>
      <c r="I1608" s="571"/>
    </row>
    <row r="1609" spans="1:9" ht="15">
      <c r="A1609" s="588"/>
      <c r="B1609" s="332"/>
      <c r="C1609" s="332"/>
      <c r="F1609" s="590"/>
      <c r="G1609" s="571"/>
      <c r="H1609" s="571"/>
      <c r="I1609" s="571"/>
    </row>
    <row r="1610" spans="1:9" ht="15">
      <c r="A1610" s="588"/>
      <c r="B1610" s="332"/>
      <c r="C1610" s="332"/>
      <c r="F1610" s="590"/>
      <c r="G1610" s="571"/>
      <c r="H1610" s="571"/>
      <c r="I1610" s="571"/>
    </row>
    <row r="1611" spans="1:9" ht="15">
      <c r="A1611" s="588"/>
      <c r="B1611" s="332"/>
      <c r="C1611" s="332"/>
      <c r="F1611" s="590"/>
      <c r="G1611" s="571"/>
      <c r="H1611" s="571"/>
      <c r="I1611" s="571"/>
    </row>
    <row r="1612" spans="1:9" ht="15">
      <c r="A1612" s="588"/>
      <c r="B1612" s="332"/>
      <c r="C1612" s="332"/>
      <c r="F1612" s="590"/>
      <c r="G1612" s="571"/>
      <c r="H1612" s="571"/>
      <c r="I1612" s="571"/>
    </row>
    <row r="1613" spans="1:9" ht="15">
      <c r="A1613" s="588"/>
      <c r="B1613" s="332"/>
      <c r="C1613" s="332"/>
      <c r="F1613" s="590"/>
      <c r="G1613" s="571"/>
      <c r="H1613" s="571"/>
      <c r="I1613" s="571"/>
    </row>
    <row r="1614" spans="1:9" ht="15">
      <c r="A1614" s="588"/>
      <c r="B1614" s="332"/>
      <c r="C1614" s="332"/>
      <c r="F1614" s="590"/>
      <c r="G1614" s="571"/>
      <c r="H1614" s="571"/>
      <c r="I1614" s="571"/>
    </row>
    <row r="1615" spans="1:9" ht="15">
      <c r="A1615" s="588"/>
      <c r="B1615" s="332"/>
      <c r="C1615" s="332"/>
      <c r="F1615" s="590"/>
      <c r="G1615" s="571"/>
      <c r="H1615" s="571"/>
      <c r="I1615" s="571"/>
    </row>
    <row r="1616" spans="1:9" ht="15">
      <c r="A1616" s="588"/>
      <c r="B1616" s="332"/>
      <c r="C1616" s="332"/>
      <c r="F1616" s="590"/>
      <c r="G1616" s="571"/>
      <c r="H1616" s="571"/>
      <c r="I1616" s="571"/>
    </row>
    <row r="1617" spans="1:9" ht="15">
      <c r="A1617" s="588"/>
      <c r="B1617" s="332"/>
      <c r="C1617" s="332"/>
      <c r="F1617" s="590"/>
      <c r="G1617" s="571"/>
      <c r="H1617" s="571"/>
      <c r="I1617" s="571"/>
    </row>
    <row r="1618" spans="1:9" ht="15">
      <c r="A1618" s="588"/>
      <c r="B1618" s="332"/>
      <c r="C1618" s="332"/>
      <c r="F1618" s="590"/>
      <c r="G1618" s="571"/>
      <c r="H1618" s="571"/>
      <c r="I1618" s="571"/>
    </row>
    <row r="1619" spans="1:9" ht="15">
      <c r="A1619" s="588"/>
      <c r="B1619" s="332"/>
      <c r="C1619" s="332"/>
      <c r="F1619" s="590"/>
      <c r="G1619" s="571"/>
      <c r="H1619" s="571"/>
      <c r="I1619" s="571"/>
    </row>
    <row r="1620" spans="1:9" ht="15">
      <c r="A1620" s="588"/>
      <c r="B1620" s="332"/>
      <c r="C1620" s="332"/>
      <c r="F1620" s="590"/>
      <c r="G1620" s="571"/>
      <c r="H1620" s="571"/>
      <c r="I1620" s="571"/>
    </row>
    <row r="1621" spans="1:9" ht="15">
      <c r="A1621" s="588"/>
      <c r="B1621" s="332"/>
      <c r="C1621" s="332"/>
      <c r="F1621" s="590"/>
      <c r="G1621" s="571"/>
      <c r="H1621" s="571"/>
      <c r="I1621" s="571"/>
    </row>
    <row r="1622" spans="1:9" ht="15">
      <c r="A1622" s="588"/>
      <c r="B1622" s="332"/>
      <c r="C1622" s="332"/>
      <c r="F1622" s="590"/>
      <c r="G1622" s="571"/>
      <c r="H1622" s="571"/>
      <c r="I1622" s="571"/>
    </row>
    <row r="1623" spans="1:9" ht="15">
      <c r="A1623" s="588"/>
      <c r="B1623" s="332"/>
      <c r="C1623" s="332"/>
      <c r="F1623" s="590"/>
      <c r="G1623" s="571"/>
      <c r="H1623" s="571"/>
      <c r="I1623" s="571"/>
    </row>
    <row r="1624" spans="1:9" ht="15">
      <c r="A1624" s="588"/>
      <c r="B1624" s="332"/>
      <c r="C1624" s="332"/>
      <c r="F1624" s="590"/>
      <c r="G1624" s="571"/>
      <c r="H1624" s="571"/>
      <c r="I1624" s="571"/>
    </row>
    <row r="1625" spans="1:9" ht="15">
      <c r="A1625" s="588"/>
      <c r="B1625" s="332"/>
      <c r="C1625" s="332"/>
      <c r="F1625" s="590"/>
      <c r="G1625" s="571"/>
      <c r="H1625" s="571"/>
      <c r="I1625" s="571"/>
    </row>
    <row r="1626" spans="1:9" ht="15">
      <c r="A1626" s="588"/>
      <c r="B1626" s="332"/>
      <c r="C1626" s="332"/>
      <c r="F1626" s="590"/>
      <c r="G1626" s="571"/>
      <c r="H1626" s="571"/>
      <c r="I1626" s="571"/>
    </row>
    <row r="1627" spans="1:9" ht="15">
      <c r="A1627" s="588"/>
      <c r="B1627" s="332"/>
      <c r="C1627" s="332"/>
      <c r="F1627" s="590"/>
      <c r="G1627" s="571"/>
      <c r="H1627" s="571"/>
      <c r="I1627" s="571"/>
    </row>
    <row r="1628" spans="1:9" ht="15">
      <c r="A1628" s="588"/>
      <c r="B1628" s="332"/>
      <c r="C1628" s="332"/>
      <c r="F1628" s="590"/>
      <c r="G1628" s="571"/>
      <c r="H1628" s="571"/>
      <c r="I1628" s="571"/>
    </row>
    <row r="1629" spans="1:9" ht="15">
      <c r="A1629" s="588"/>
      <c r="B1629" s="332"/>
      <c r="C1629" s="332"/>
      <c r="F1629" s="590"/>
      <c r="G1629" s="571"/>
      <c r="H1629" s="571"/>
      <c r="I1629" s="571"/>
    </row>
    <row r="1630" spans="1:9" ht="15">
      <c r="A1630" s="588"/>
      <c r="B1630" s="332"/>
      <c r="C1630" s="332"/>
      <c r="F1630" s="590"/>
      <c r="G1630" s="571"/>
      <c r="H1630" s="571"/>
      <c r="I1630" s="571"/>
    </row>
    <row r="1631" spans="1:9" ht="15">
      <c r="A1631" s="588"/>
      <c r="B1631" s="332"/>
      <c r="C1631" s="332"/>
      <c r="F1631" s="590"/>
      <c r="G1631" s="571"/>
      <c r="H1631" s="571"/>
      <c r="I1631" s="571"/>
    </row>
    <row r="1632" spans="1:9" ht="15">
      <c r="A1632" s="588"/>
      <c r="B1632" s="332"/>
      <c r="C1632" s="332"/>
      <c r="F1632" s="590"/>
      <c r="G1632" s="571"/>
      <c r="H1632" s="571"/>
      <c r="I1632" s="571"/>
    </row>
    <row r="1633" spans="1:9" ht="15">
      <c r="A1633" s="588"/>
      <c r="B1633" s="332"/>
      <c r="C1633" s="332"/>
      <c r="F1633" s="590"/>
      <c r="G1633" s="571"/>
      <c r="H1633" s="571"/>
      <c r="I1633" s="571"/>
    </row>
    <row r="1634" spans="1:9" ht="15">
      <c r="A1634" s="588"/>
      <c r="B1634" s="332"/>
      <c r="C1634" s="332"/>
      <c r="F1634" s="590"/>
      <c r="G1634" s="571"/>
      <c r="H1634" s="571"/>
      <c r="I1634" s="571"/>
    </row>
    <row r="1635" spans="1:9" ht="15">
      <c r="A1635" s="588"/>
      <c r="B1635" s="332"/>
      <c r="C1635" s="332"/>
      <c r="F1635" s="590"/>
      <c r="G1635" s="571"/>
      <c r="H1635" s="571"/>
      <c r="I1635" s="571"/>
    </row>
    <row r="1636" spans="1:9" ht="15">
      <c r="A1636" s="588"/>
      <c r="B1636" s="332"/>
      <c r="C1636" s="332"/>
      <c r="F1636" s="590"/>
      <c r="G1636" s="571"/>
      <c r="H1636" s="571"/>
      <c r="I1636" s="571"/>
    </row>
    <row r="1637" spans="1:9" ht="15">
      <c r="A1637" s="588"/>
      <c r="B1637" s="332"/>
      <c r="C1637" s="332"/>
      <c r="F1637" s="590"/>
      <c r="G1637" s="571"/>
      <c r="H1637" s="571"/>
      <c r="I1637" s="571"/>
    </row>
    <row r="1638" spans="1:9" ht="15">
      <c r="A1638" s="588"/>
      <c r="B1638" s="332"/>
      <c r="C1638" s="332"/>
      <c r="F1638" s="590"/>
      <c r="G1638" s="571"/>
      <c r="H1638" s="571"/>
      <c r="I1638" s="571"/>
    </row>
    <row r="1639" spans="1:9" ht="15">
      <c r="A1639" s="588"/>
      <c r="B1639" s="332"/>
      <c r="C1639" s="332"/>
      <c r="F1639" s="590"/>
      <c r="G1639" s="571"/>
      <c r="H1639" s="571"/>
      <c r="I1639" s="571"/>
    </row>
    <row r="1640" spans="1:9" ht="15">
      <c r="A1640" s="588"/>
      <c r="B1640" s="332"/>
      <c r="C1640" s="332"/>
      <c r="F1640" s="590"/>
      <c r="G1640" s="571"/>
      <c r="H1640" s="571"/>
      <c r="I1640" s="571"/>
    </row>
    <row r="1641" spans="1:9" ht="15">
      <c r="A1641" s="588"/>
      <c r="B1641" s="332"/>
      <c r="C1641" s="332"/>
      <c r="F1641" s="590"/>
      <c r="G1641" s="571"/>
      <c r="H1641" s="571"/>
      <c r="I1641" s="571"/>
    </row>
    <row r="1642" spans="1:9" ht="15">
      <c r="A1642" s="588"/>
      <c r="B1642" s="332"/>
      <c r="C1642" s="332"/>
      <c r="F1642" s="590"/>
      <c r="G1642" s="571"/>
      <c r="H1642" s="571"/>
      <c r="I1642" s="571"/>
    </row>
    <row r="1643" spans="1:9" ht="15">
      <c r="A1643" s="588"/>
      <c r="B1643" s="332"/>
      <c r="C1643" s="332"/>
      <c r="F1643" s="590"/>
      <c r="G1643" s="571"/>
      <c r="H1643" s="571"/>
      <c r="I1643" s="571"/>
    </row>
    <row r="1644" spans="1:9" ht="15">
      <c r="A1644" s="588"/>
      <c r="B1644" s="332"/>
      <c r="C1644" s="332"/>
      <c r="F1644" s="590"/>
      <c r="G1644" s="571"/>
      <c r="H1644" s="571"/>
      <c r="I1644" s="571"/>
    </row>
    <row r="1645" spans="1:9" ht="15">
      <c r="A1645" s="588"/>
      <c r="B1645" s="332"/>
      <c r="C1645" s="332"/>
      <c r="F1645" s="590"/>
      <c r="G1645" s="571"/>
      <c r="H1645" s="571"/>
      <c r="I1645" s="571"/>
    </row>
    <row r="1646" spans="1:9" ht="15">
      <c r="A1646" s="588"/>
      <c r="B1646" s="332"/>
      <c r="C1646" s="332"/>
      <c r="F1646" s="590"/>
      <c r="G1646" s="571"/>
      <c r="H1646" s="571"/>
      <c r="I1646" s="571"/>
    </row>
    <row r="1647" spans="1:9" ht="15">
      <c r="A1647" s="588"/>
      <c r="B1647" s="332"/>
      <c r="C1647" s="332"/>
      <c r="F1647" s="590"/>
      <c r="G1647" s="571"/>
      <c r="H1647" s="571"/>
      <c r="I1647" s="571"/>
    </row>
    <row r="1648" spans="1:9" ht="15">
      <c r="A1648" s="588"/>
      <c r="B1648" s="332"/>
      <c r="C1648" s="332"/>
      <c r="F1648" s="590"/>
      <c r="G1648" s="571"/>
      <c r="H1648" s="571"/>
      <c r="I1648" s="571"/>
    </row>
    <row r="1649" spans="1:9" ht="15">
      <c r="A1649" s="588"/>
      <c r="B1649" s="332"/>
      <c r="C1649" s="332"/>
      <c r="F1649" s="590"/>
      <c r="G1649" s="571"/>
      <c r="H1649" s="571"/>
      <c r="I1649" s="571"/>
    </row>
    <row r="1650" spans="1:9" ht="15">
      <c r="A1650" s="588"/>
      <c r="B1650" s="332"/>
      <c r="C1650" s="332"/>
      <c r="F1650" s="590"/>
      <c r="G1650" s="571"/>
      <c r="H1650" s="571"/>
      <c r="I1650" s="571"/>
    </row>
    <row r="1651" spans="1:9" ht="15">
      <c r="A1651" s="588"/>
      <c r="B1651" s="332"/>
      <c r="C1651" s="332"/>
      <c r="F1651" s="590"/>
      <c r="G1651" s="571"/>
      <c r="H1651" s="571"/>
      <c r="I1651" s="571"/>
    </row>
    <row r="1652" spans="1:9" ht="15">
      <c r="A1652" s="588"/>
      <c r="B1652" s="332"/>
      <c r="C1652" s="332"/>
      <c r="F1652" s="590"/>
      <c r="G1652" s="571"/>
      <c r="H1652" s="571"/>
      <c r="I1652" s="571"/>
    </row>
    <row r="1653" spans="1:9" ht="15">
      <c r="A1653" s="588"/>
      <c r="B1653" s="332"/>
      <c r="C1653" s="332"/>
      <c r="F1653" s="590"/>
      <c r="G1653" s="571"/>
      <c r="H1653" s="571"/>
      <c r="I1653" s="571"/>
    </row>
    <row r="1654" spans="1:9" ht="15">
      <c r="A1654" s="588"/>
      <c r="B1654" s="332"/>
      <c r="C1654" s="332"/>
      <c r="F1654" s="590"/>
      <c r="G1654" s="571"/>
      <c r="H1654" s="571"/>
      <c r="I1654" s="571"/>
    </row>
    <row r="1655" spans="1:9" ht="15">
      <c r="A1655" s="588"/>
      <c r="B1655" s="332"/>
      <c r="C1655" s="332"/>
      <c r="F1655" s="590"/>
      <c r="G1655" s="571"/>
      <c r="H1655" s="571"/>
      <c r="I1655" s="571"/>
    </row>
    <row r="1656" spans="1:9" ht="15">
      <c r="A1656" s="588"/>
      <c r="B1656" s="332"/>
      <c r="C1656" s="332"/>
      <c r="F1656" s="590"/>
      <c r="G1656" s="571"/>
      <c r="H1656" s="571"/>
      <c r="I1656" s="571"/>
    </row>
    <row r="1657" spans="1:9" ht="15">
      <c r="A1657" s="588"/>
      <c r="B1657" s="332"/>
      <c r="C1657" s="332"/>
      <c r="F1657" s="590"/>
      <c r="G1657" s="571"/>
      <c r="H1657" s="571"/>
      <c r="I1657" s="571"/>
    </row>
    <row r="1658" spans="1:9" ht="15">
      <c r="A1658" s="588"/>
      <c r="B1658" s="332"/>
      <c r="C1658" s="332"/>
      <c r="F1658" s="590"/>
      <c r="G1658" s="571"/>
      <c r="H1658" s="571"/>
      <c r="I1658" s="571"/>
    </row>
    <row r="1659" spans="1:9" ht="15">
      <c r="A1659" s="588"/>
      <c r="B1659" s="332"/>
      <c r="C1659" s="332"/>
      <c r="F1659" s="590"/>
      <c r="G1659" s="571"/>
      <c r="H1659" s="571"/>
      <c r="I1659" s="571"/>
    </row>
    <row r="1660" spans="1:9" ht="15">
      <c r="A1660" s="588"/>
      <c r="B1660" s="332"/>
      <c r="C1660" s="332"/>
      <c r="F1660" s="590"/>
      <c r="G1660" s="571"/>
      <c r="H1660" s="571"/>
      <c r="I1660" s="571"/>
    </row>
    <row r="1661" spans="1:9" ht="15">
      <c r="A1661" s="588"/>
      <c r="B1661" s="332"/>
      <c r="C1661" s="332"/>
      <c r="F1661" s="590"/>
      <c r="G1661" s="571"/>
      <c r="H1661" s="571"/>
      <c r="I1661" s="571"/>
    </row>
    <row r="1662" spans="1:9" ht="15">
      <c r="A1662" s="588"/>
      <c r="B1662" s="332"/>
      <c r="C1662" s="332"/>
      <c r="F1662" s="590"/>
      <c r="G1662" s="571"/>
      <c r="H1662" s="571"/>
      <c r="I1662" s="571"/>
    </row>
    <row r="1663" spans="1:9" ht="15">
      <c r="A1663" s="588"/>
      <c r="B1663" s="332"/>
      <c r="C1663" s="332"/>
      <c r="F1663" s="590"/>
      <c r="G1663" s="571"/>
      <c r="H1663" s="571"/>
      <c r="I1663" s="571"/>
    </row>
    <row r="1664" spans="1:9" ht="15">
      <c r="A1664" s="588"/>
      <c r="B1664" s="332"/>
      <c r="C1664" s="332"/>
      <c r="F1664" s="590"/>
      <c r="G1664" s="571"/>
      <c r="H1664" s="571"/>
      <c r="I1664" s="571"/>
    </row>
    <row r="1665" spans="1:9" ht="15">
      <c r="A1665" s="588"/>
      <c r="B1665" s="332"/>
      <c r="C1665" s="332"/>
      <c r="F1665" s="590"/>
      <c r="G1665" s="571"/>
      <c r="H1665" s="571"/>
      <c r="I1665" s="571"/>
    </row>
    <row r="1666" spans="1:9" ht="15">
      <c r="A1666" s="588"/>
      <c r="B1666" s="332"/>
      <c r="C1666" s="332"/>
      <c r="F1666" s="590"/>
      <c r="G1666" s="571"/>
      <c r="H1666" s="571"/>
      <c r="I1666" s="571"/>
    </row>
    <row r="1667" spans="1:9" ht="15">
      <c r="A1667" s="588"/>
      <c r="B1667" s="332"/>
      <c r="C1667" s="332"/>
      <c r="F1667" s="590"/>
      <c r="G1667" s="571"/>
      <c r="H1667" s="571"/>
      <c r="I1667" s="571"/>
    </row>
    <row r="1668" spans="1:9" ht="15">
      <c r="A1668" s="588"/>
      <c r="B1668" s="332"/>
      <c r="C1668" s="332"/>
      <c r="F1668" s="590"/>
      <c r="G1668" s="571"/>
      <c r="H1668" s="571"/>
      <c r="I1668" s="571"/>
    </row>
    <row r="1669" spans="1:9" ht="15">
      <c r="A1669" s="588"/>
      <c r="B1669" s="332"/>
      <c r="C1669" s="332"/>
      <c r="F1669" s="590"/>
      <c r="G1669" s="571"/>
      <c r="H1669" s="571"/>
      <c r="I1669" s="571"/>
    </row>
    <row r="1670" spans="1:9" ht="15">
      <c r="A1670" s="588"/>
      <c r="B1670" s="332"/>
      <c r="C1670" s="332"/>
      <c r="F1670" s="590"/>
      <c r="G1670" s="571"/>
      <c r="H1670" s="571"/>
      <c r="I1670" s="571"/>
    </row>
    <row r="1671" spans="1:9" ht="15">
      <c r="A1671" s="588"/>
      <c r="B1671" s="332"/>
      <c r="C1671" s="332"/>
      <c r="F1671" s="590"/>
      <c r="G1671" s="571"/>
      <c r="H1671" s="571"/>
      <c r="I1671" s="571"/>
    </row>
    <row r="1672" spans="1:9" ht="15">
      <c r="A1672" s="588"/>
      <c r="B1672" s="332"/>
      <c r="C1672" s="332"/>
      <c r="F1672" s="590"/>
      <c r="G1672" s="571"/>
      <c r="H1672" s="571"/>
      <c r="I1672" s="571"/>
    </row>
    <row r="1673" spans="1:9" ht="15">
      <c r="A1673" s="588"/>
      <c r="B1673" s="332"/>
      <c r="C1673" s="332"/>
      <c r="F1673" s="590"/>
      <c r="G1673" s="571"/>
      <c r="H1673" s="571"/>
      <c r="I1673" s="571"/>
    </row>
    <row r="1674" spans="1:9" ht="15">
      <c r="A1674" s="588"/>
      <c r="B1674" s="332"/>
      <c r="C1674" s="332"/>
      <c r="F1674" s="590"/>
      <c r="G1674" s="571"/>
      <c r="H1674" s="571"/>
      <c r="I1674" s="571"/>
    </row>
    <row r="1675" spans="1:9" ht="15">
      <c r="A1675" s="588"/>
      <c r="B1675" s="332"/>
      <c r="C1675" s="332"/>
      <c r="F1675" s="590"/>
      <c r="G1675" s="571"/>
      <c r="H1675" s="571"/>
      <c r="I1675" s="571"/>
    </row>
    <row r="1676" spans="1:9" ht="15">
      <c r="A1676" s="588"/>
      <c r="B1676" s="332"/>
      <c r="C1676" s="332"/>
      <c r="F1676" s="590"/>
      <c r="G1676" s="571"/>
      <c r="H1676" s="571"/>
      <c r="I1676" s="571"/>
    </row>
    <row r="1677" spans="1:9" ht="15">
      <c r="A1677" s="588"/>
      <c r="B1677" s="332"/>
      <c r="C1677" s="332"/>
      <c r="F1677" s="590"/>
      <c r="G1677" s="571"/>
      <c r="H1677" s="571"/>
      <c r="I1677" s="571"/>
    </row>
    <row r="1678" spans="1:9" ht="15">
      <c r="A1678" s="588"/>
      <c r="B1678" s="332"/>
      <c r="C1678" s="332"/>
      <c r="F1678" s="590"/>
      <c r="G1678" s="571"/>
      <c r="H1678" s="571"/>
      <c r="I1678" s="571"/>
    </row>
    <row r="1679" spans="1:9" ht="15">
      <c r="A1679" s="588"/>
      <c r="B1679" s="332"/>
      <c r="C1679" s="332"/>
      <c r="F1679" s="590"/>
      <c r="G1679" s="571"/>
      <c r="H1679" s="571"/>
      <c r="I1679" s="571"/>
    </row>
    <row r="1680" spans="1:9" ht="15">
      <c r="A1680" s="588"/>
      <c r="B1680" s="332"/>
      <c r="C1680" s="332"/>
      <c r="F1680" s="590"/>
      <c r="G1680" s="571"/>
      <c r="H1680" s="571"/>
      <c r="I1680" s="571"/>
    </row>
    <row r="1681" spans="1:9" ht="15">
      <c r="A1681" s="588"/>
      <c r="B1681" s="332"/>
      <c r="C1681" s="332"/>
      <c r="F1681" s="590"/>
      <c r="G1681" s="571"/>
      <c r="H1681" s="571"/>
      <c r="I1681" s="571"/>
    </row>
    <row r="1682" spans="1:9" ht="15">
      <c r="A1682" s="588"/>
      <c r="B1682" s="332"/>
      <c r="C1682" s="332"/>
      <c r="F1682" s="590"/>
      <c r="G1682" s="571"/>
      <c r="H1682" s="571"/>
      <c r="I1682" s="571"/>
    </row>
    <row r="1683" spans="1:9" ht="15">
      <c r="A1683" s="588"/>
      <c r="B1683" s="332"/>
      <c r="C1683" s="332"/>
      <c r="F1683" s="590"/>
      <c r="G1683" s="571"/>
      <c r="H1683" s="571"/>
      <c r="I1683" s="571"/>
    </row>
    <row r="1684" spans="1:9" ht="15">
      <c r="A1684" s="588"/>
      <c r="B1684" s="332"/>
      <c r="C1684" s="332"/>
      <c r="F1684" s="590"/>
      <c r="G1684" s="571"/>
      <c r="H1684" s="571"/>
      <c r="I1684" s="571"/>
    </row>
    <row r="1685" spans="1:9" ht="15">
      <c r="A1685" s="588"/>
      <c r="B1685" s="332"/>
      <c r="C1685" s="332"/>
      <c r="F1685" s="590"/>
      <c r="G1685" s="571"/>
      <c r="H1685" s="571"/>
      <c r="I1685" s="571"/>
    </row>
    <row r="1686" spans="1:9" ht="15">
      <c r="A1686" s="588"/>
      <c r="B1686" s="332"/>
      <c r="C1686" s="332"/>
      <c r="F1686" s="590"/>
      <c r="G1686" s="571"/>
      <c r="H1686" s="571"/>
      <c r="I1686" s="571"/>
    </row>
    <row r="1687" spans="1:9" ht="15">
      <c r="A1687" s="588"/>
      <c r="B1687" s="332"/>
      <c r="C1687" s="332"/>
      <c r="F1687" s="590"/>
      <c r="G1687" s="571"/>
      <c r="H1687" s="571"/>
      <c r="I1687" s="571"/>
    </row>
    <row r="1688" spans="1:9" ht="15">
      <c r="A1688" s="588"/>
      <c r="B1688" s="332"/>
      <c r="C1688" s="332"/>
      <c r="F1688" s="590"/>
      <c r="G1688" s="571"/>
      <c r="H1688" s="571"/>
      <c r="I1688" s="571"/>
    </row>
    <row r="1689" spans="1:9" ht="15">
      <c r="A1689" s="588"/>
      <c r="B1689" s="332"/>
      <c r="C1689" s="332"/>
      <c r="F1689" s="590"/>
      <c r="G1689" s="571"/>
      <c r="H1689" s="571"/>
      <c r="I1689" s="571"/>
    </row>
    <row r="1690" spans="1:9" ht="15">
      <c r="A1690" s="588"/>
      <c r="B1690" s="332"/>
      <c r="C1690" s="332"/>
      <c r="F1690" s="590"/>
      <c r="G1690" s="571"/>
      <c r="H1690" s="571"/>
      <c r="I1690" s="571"/>
    </row>
    <row r="1691" spans="1:9" ht="15">
      <c r="A1691" s="588"/>
      <c r="B1691" s="332"/>
      <c r="C1691" s="332"/>
      <c r="F1691" s="590"/>
      <c r="G1691" s="571"/>
      <c r="H1691" s="571"/>
      <c r="I1691" s="571"/>
    </row>
    <row r="1692" spans="1:9" ht="15">
      <c r="A1692" s="588"/>
      <c r="B1692" s="332"/>
      <c r="C1692" s="332"/>
      <c r="F1692" s="590"/>
      <c r="G1692" s="571"/>
      <c r="H1692" s="571"/>
      <c r="I1692" s="571"/>
    </row>
    <row r="1693" spans="1:9" ht="15">
      <c r="A1693" s="588"/>
      <c r="B1693" s="332"/>
      <c r="C1693" s="332"/>
      <c r="F1693" s="590"/>
      <c r="G1693" s="571"/>
      <c r="H1693" s="571"/>
      <c r="I1693" s="571"/>
    </row>
    <row r="1694" spans="1:9" ht="15">
      <c r="A1694" s="588"/>
      <c r="B1694" s="332"/>
      <c r="C1694" s="332"/>
      <c r="F1694" s="590"/>
      <c r="G1694" s="571"/>
      <c r="H1694" s="571"/>
      <c r="I1694" s="571"/>
    </row>
    <row r="1695" spans="1:9" ht="15">
      <c r="A1695" s="588"/>
      <c r="B1695" s="332"/>
      <c r="C1695" s="332"/>
      <c r="F1695" s="590"/>
      <c r="G1695" s="571"/>
      <c r="H1695" s="571"/>
      <c r="I1695" s="571"/>
    </row>
    <row r="1696" spans="1:9" ht="15">
      <c r="A1696" s="588"/>
      <c r="B1696" s="332"/>
      <c r="C1696" s="332"/>
      <c r="F1696" s="590"/>
      <c r="G1696" s="571"/>
      <c r="H1696" s="571"/>
      <c r="I1696" s="571"/>
    </row>
    <row r="1697" spans="1:9" ht="15">
      <c r="A1697" s="588"/>
      <c r="B1697" s="332"/>
      <c r="C1697" s="332"/>
      <c r="F1697" s="590"/>
      <c r="G1697" s="571"/>
      <c r="H1697" s="571"/>
      <c r="I1697" s="571"/>
    </row>
    <row r="1698" spans="1:9" ht="15">
      <c r="A1698" s="588"/>
      <c r="B1698" s="332"/>
      <c r="C1698" s="332"/>
      <c r="F1698" s="590"/>
      <c r="G1698" s="571"/>
      <c r="H1698" s="571"/>
      <c r="I1698" s="571"/>
    </row>
    <row r="1699" spans="1:9" ht="15">
      <c r="A1699" s="588"/>
      <c r="B1699" s="332"/>
      <c r="C1699" s="332"/>
      <c r="F1699" s="590"/>
      <c r="G1699" s="571"/>
      <c r="H1699" s="571"/>
      <c r="I1699" s="571"/>
    </row>
    <row r="1700" spans="1:9" ht="15">
      <c r="A1700" s="588"/>
      <c r="B1700" s="332"/>
      <c r="C1700" s="332"/>
      <c r="F1700" s="590"/>
      <c r="G1700" s="571"/>
      <c r="H1700" s="571"/>
      <c r="I1700" s="571"/>
    </row>
    <row r="1701" spans="1:9" ht="15">
      <c r="A1701" s="588"/>
      <c r="B1701" s="332"/>
      <c r="C1701" s="332"/>
      <c r="F1701" s="590"/>
      <c r="G1701" s="571"/>
      <c r="H1701" s="571"/>
      <c r="I1701" s="571"/>
    </row>
    <row r="1702" spans="1:9" ht="15">
      <c r="A1702" s="588"/>
      <c r="B1702" s="332"/>
      <c r="C1702" s="332"/>
      <c r="F1702" s="590"/>
      <c r="G1702" s="571"/>
      <c r="H1702" s="571"/>
      <c r="I1702" s="571"/>
    </row>
    <row r="1703" spans="1:9" ht="15">
      <c r="A1703" s="588"/>
      <c r="B1703" s="332"/>
      <c r="C1703" s="332"/>
      <c r="F1703" s="590"/>
      <c r="G1703" s="571"/>
      <c r="H1703" s="571"/>
      <c r="I1703" s="571"/>
    </row>
    <row r="1704" spans="1:9" ht="15">
      <c r="A1704" s="588"/>
      <c r="B1704" s="332"/>
      <c r="C1704" s="332"/>
      <c r="F1704" s="590"/>
      <c r="G1704" s="571"/>
      <c r="H1704" s="571"/>
      <c r="I1704" s="571"/>
    </row>
    <row r="1705" spans="1:9" ht="15">
      <c r="A1705" s="588"/>
      <c r="B1705" s="332"/>
      <c r="C1705" s="332"/>
      <c r="F1705" s="590"/>
      <c r="G1705" s="571"/>
      <c r="H1705" s="571"/>
      <c r="I1705" s="571"/>
    </row>
    <row r="1706" spans="1:9" ht="15">
      <c r="A1706" s="588"/>
      <c r="B1706" s="332"/>
      <c r="C1706" s="332"/>
      <c r="F1706" s="590"/>
      <c r="G1706" s="571"/>
      <c r="H1706" s="571"/>
      <c r="I1706" s="571"/>
    </row>
    <row r="1707" spans="1:9" ht="15">
      <c r="A1707" s="588"/>
      <c r="B1707" s="332"/>
      <c r="C1707" s="332"/>
      <c r="F1707" s="590"/>
      <c r="G1707" s="571"/>
      <c r="H1707" s="571"/>
      <c r="I1707" s="571"/>
    </row>
    <row r="1708" spans="1:9" ht="15">
      <c r="A1708" s="588"/>
      <c r="B1708" s="332"/>
      <c r="C1708" s="332"/>
      <c r="F1708" s="590"/>
      <c r="G1708" s="571"/>
      <c r="H1708" s="571"/>
      <c r="I1708" s="571"/>
    </row>
    <row r="1709" spans="1:9" ht="15">
      <c r="A1709" s="588"/>
      <c r="B1709" s="332"/>
      <c r="C1709" s="332"/>
      <c r="F1709" s="590"/>
      <c r="G1709" s="571"/>
      <c r="H1709" s="571"/>
      <c r="I1709" s="571"/>
    </row>
    <row r="1710" spans="1:9" ht="15">
      <c r="A1710" s="588"/>
      <c r="B1710" s="332"/>
      <c r="C1710" s="332"/>
      <c r="F1710" s="590"/>
      <c r="G1710" s="571"/>
      <c r="H1710" s="571"/>
      <c r="I1710" s="571"/>
    </row>
    <row r="1711" spans="1:9" ht="15">
      <c r="A1711" s="588"/>
      <c r="B1711" s="332"/>
      <c r="C1711" s="332"/>
      <c r="F1711" s="590"/>
      <c r="G1711" s="571"/>
      <c r="H1711" s="571"/>
      <c r="I1711" s="571"/>
    </row>
    <row r="1712" spans="1:9" ht="15">
      <c r="A1712" s="588"/>
      <c r="B1712" s="332"/>
      <c r="C1712" s="332"/>
      <c r="F1712" s="590"/>
      <c r="G1712" s="571"/>
      <c r="H1712" s="571"/>
      <c r="I1712" s="571"/>
    </row>
    <row r="1713" spans="1:9" ht="15">
      <c r="A1713" s="588"/>
      <c r="B1713" s="332"/>
      <c r="C1713" s="332"/>
      <c r="F1713" s="590"/>
      <c r="G1713" s="571"/>
      <c r="H1713" s="571"/>
      <c r="I1713" s="571"/>
    </row>
    <row r="1714" spans="1:9" ht="15">
      <c r="A1714" s="588"/>
      <c r="B1714" s="332"/>
      <c r="C1714" s="332"/>
      <c r="F1714" s="590"/>
      <c r="G1714" s="571"/>
      <c r="H1714" s="571"/>
      <c r="I1714" s="571"/>
    </row>
    <row r="1715" spans="1:9" ht="15">
      <c r="A1715" s="588"/>
      <c r="B1715" s="332"/>
      <c r="C1715" s="332"/>
      <c r="F1715" s="590"/>
      <c r="G1715" s="571"/>
      <c r="H1715" s="571"/>
      <c r="I1715" s="571"/>
    </row>
    <row r="1716" spans="1:9" ht="15">
      <c r="A1716" s="588"/>
      <c r="B1716" s="332"/>
      <c r="C1716" s="332"/>
      <c r="F1716" s="590"/>
      <c r="G1716" s="571"/>
      <c r="H1716" s="571"/>
      <c r="I1716" s="571"/>
    </row>
    <row r="1717" spans="1:9" ht="15">
      <c r="A1717" s="588"/>
      <c r="B1717" s="332"/>
      <c r="C1717" s="332"/>
      <c r="F1717" s="590"/>
      <c r="G1717" s="571"/>
      <c r="H1717" s="571"/>
      <c r="I1717" s="571"/>
    </row>
    <row r="1718" spans="1:9" ht="15">
      <c r="A1718" s="588"/>
      <c r="B1718" s="332"/>
      <c r="C1718" s="332"/>
      <c r="F1718" s="590"/>
      <c r="G1718" s="571"/>
      <c r="H1718" s="571"/>
      <c r="I1718" s="571"/>
    </row>
    <row r="1719" spans="1:9" ht="15">
      <c r="A1719" s="588"/>
      <c r="B1719" s="332"/>
      <c r="C1719" s="332"/>
      <c r="F1719" s="590"/>
      <c r="G1719" s="571"/>
      <c r="H1719" s="571"/>
      <c r="I1719" s="571"/>
    </row>
    <row r="1720" spans="1:9" ht="15">
      <c r="A1720" s="588"/>
      <c r="B1720" s="332"/>
      <c r="C1720" s="332"/>
      <c r="F1720" s="590"/>
      <c r="G1720" s="571"/>
      <c r="H1720" s="571"/>
      <c r="I1720" s="571"/>
    </row>
    <row r="1721" spans="1:9" ht="15">
      <c r="A1721" s="588"/>
      <c r="B1721" s="332"/>
      <c r="C1721" s="332"/>
      <c r="F1721" s="590"/>
      <c r="G1721" s="571"/>
      <c r="H1721" s="571"/>
      <c r="I1721" s="571"/>
    </row>
    <row r="1722" spans="1:9" ht="15">
      <c r="A1722" s="588"/>
      <c r="B1722" s="332"/>
      <c r="C1722" s="332"/>
      <c r="F1722" s="590"/>
      <c r="G1722" s="571"/>
      <c r="H1722" s="571"/>
      <c r="I1722" s="571"/>
    </row>
    <row r="1723" spans="1:9" ht="15">
      <c r="A1723" s="588"/>
      <c r="B1723" s="332"/>
      <c r="C1723" s="332"/>
      <c r="F1723" s="590"/>
      <c r="G1723" s="571"/>
      <c r="H1723" s="571"/>
      <c r="I1723" s="571"/>
    </row>
    <row r="1724" spans="1:9" ht="15">
      <c r="A1724" s="588"/>
      <c r="B1724" s="332"/>
      <c r="C1724" s="332"/>
      <c r="F1724" s="590"/>
      <c r="G1724" s="571"/>
      <c r="H1724" s="571"/>
      <c r="I1724" s="571"/>
    </row>
    <row r="1725" spans="1:9" ht="15">
      <c r="A1725" s="588"/>
      <c r="B1725" s="332"/>
      <c r="C1725" s="332"/>
      <c r="F1725" s="590"/>
      <c r="G1725" s="571"/>
      <c r="H1725" s="571"/>
      <c r="I1725" s="571"/>
    </row>
    <row r="1726" spans="1:9" ht="15">
      <c r="A1726" s="588"/>
      <c r="B1726" s="332"/>
      <c r="C1726" s="332"/>
      <c r="F1726" s="590"/>
      <c r="G1726" s="571"/>
      <c r="H1726" s="571"/>
      <c r="I1726" s="571"/>
    </row>
    <row r="1727" spans="1:9" ht="15">
      <c r="A1727" s="588"/>
      <c r="B1727" s="332"/>
      <c r="C1727" s="332"/>
      <c r="F1727" s="590"/>
      <c r="G1727" s="571"/>
      <c r="H1727" s="571"/>
      <c r="I1727" s="571"/>
    </row>
    <row r="1728" spans="1:9" ht="15">
      <c r="A1728" s="588"/>
      <c r="B1728" s="332"/>
      <c r="C1728" s="332"/>
      <c r="F1728" s="590"/>
      <c r="G1728" s="571"/>
      <c r="H1728" s="571"/>
      <c r="I1728" s="571"/>
    </row>
    <row r="1729" spans="1:9" ht="15">
      <c r="A1729" s="588"/>
      <c r="B1729" s="332"/>
      <c r="C1729" s="332"/>
      <c r="F1729" s="590"/>
      <c r="G1729" s="571"/>
      <c r="H1729" s="571"/>
      <c r="I1729" s="571"/>
    </row>
    <row r="1730" spans="1:9" ht="15">
      <c r="A1730" s="588"/>
      <c r="B1730" s="332"/>
      <c r="C1730" s="332"/>
      <c r="F1730" s="590"/>
      <c r="G1730" s="571"/>
      <c r="H1730" s="571"/>
      <c r="I1730" s="571"/>
    </row>
    <row r="1731" spans="1:9" ht="15">
      <c r="A1731" s="588"/>
      <c r="B1731" s="332"/>
      <c r="C1731" s="332"/>
      <c r="F1731" s="590"/>
      <c r="G1731" s="571"/>
      <c r="H1731" s="571"/>
      <c r="I1731" s="571"/>
    </row>
    <row r="1732" spans="1:9" ht="15">
      <c r="A1732" s="588"/>
      <c r="B1732" s="332"/>
      <c r="C1732" s="332"/>
      <c r="F1732" s="590"/>
      <c r="G1732" s="571"/>
      <c r="H1732" s="571"/>
      <c r="I1732" s="571"/>
    </row>
    <row r="1733" spans="1:9" ht="15">
      <c r="A1733" s="588"/>
      <c r="B1733" s="332"/>
      <c r="C1733" s="332"/>
      <c r="F1733" s="590"/>
      <c r="G1733" s="571"/>
      <c r="H1733" s="571"/>
      <c r="I1733" s="571"/>
    </row>
    <row r="1734" spans="1:9" ht="15">
      <c r="A1734" s="588"/>
      <c r="B1734" s="332"/>
      <c r="C1734" s="332"/>
      <c r="F1734" s="590"/>
      <c r="G1734" s="571"/>
      <c r="H1734" s="571"/>
      <c r="I1734" s="571"/>
    </row>
    <row r="1735" spans="1:9" ht="15">
      <c r="A1735" s="588"/>
      <c r="B1735" s="332"/>
      <c r="C1735" s="332"/>
      <c r="F1735" s="590"/>
      <c r="G1735" s="571"/>
      <c r="H1735" s="571"/>
      <c r="I1735" s="571"/>
    </row>
    <row r="1736" spans="1:9" ht="15">
      <c r="A1736" s="588"/>
      <c r="B1736" s="332"/>
      <c r="C1736" s="332"/>
      <c r="F1736" s="590"/>
      <c r="G1736" s="571"/>
      <c r="H1736" s="571"/>
      <c r="I1736" s="571"/>
    </row>
    <row r="1737" spans="1:9" ht="15">
      <c r="A1737" s="588"/>
      <c r="B1737" s="332"/>
      <c r="C1737" s="332"/>
      <c r="F1737" s="590"/>
      <c r="G1737" s="571"/>
      <c r="H1737" s="571"/>
      <c r="I1737" s="571"/>
    </row>
    <row r="1738" spans="1:9" ht="15">
      <c r="A1738" s="588"/>
      <c r="B1738" s="332"/>
      <c r="C1738" s="332"/>
      <c r="F1738" s="590"/>
      <c r="G1738" s="571"/>
      <c r="H1738" s="571"/>
      <c r="I1738" s="571"/>
    </row>
    <row r="1739" spans="1:9" ht="15">
      <c r="A1739" s="588"/>
      <c r="B1739" s="332"/>
      <c r="C1739" s="332"/>
      <c r="F1739" s="590"/>
      <c r="G1739" s="571"/>
      <c r="H1739" s="571"/>
      <c r="I1739" s="571"/>
    </row>
    <row r="1740" spans="1:9" ht="15">
      <c r="A1740" s="588"/>
      <c r="B1740" s="332"/>
      <c r="C1740" s="332"/>
      <c r="F1740" s="590"/>
      <c r="G1740" s="571"/>
      <c r="H1740" s="571"/>
      <c r="I1740" s="571"/>
    </row>
    <row r="1741" spans="1:9" ht="15">
      <c r="A1741" s="588"/>
      <c r="B1741" s="332"/>
      <c r="C1741" s="332"/>
      <c r="F1741" s="590"/>
      <c r="G1741" s="571"/>
      <c r="H1741" s="571"/>
      <c r="I1741" s="571"/>
    </row>
    <row r="1742" spans="1:9" ht="15">
      <c r="A1742" s="588"/>
      <c r="B1742" s="332"/>
      <c r="C1742" s="332"/>
      <c r="F1742" s="590"/>
      <c r="G1742" s="571"/>
      <c r="H1742" s="571"/>
      <c r="I1742" s="571"/>
    </row>
    <row r="1743" spans="1:9" ht="15">
      <c r="A1743" s="588"/>
      <c r="B1743" s="332"/>
      <c r="C1743" s="332"/>
      <c r="F1743" s="590"/>
      <c r="G1743" s="571"/>
      <c r="H1743" s="571"/>
      <c r="I1743" s="571"/>
    </row>
    <row r="1744" spans="1:9" ht="15">
      <c r="A1744" s="588"/>
      <c r="B1744" s="332"/>
      <c r="C1744" s="332"/>
      <c r="F1744" s="590"/>
      <c r="G1744" s="571"/>
      <c r="H1744" s="571"/>
      <c r="I1744" s="571"/>
    </row>
    <row r="1745" spans="1:9" ht="15">
      <c r="A1745" s="588"/>
      <c r="B1745" s="332"/>
      <c r="C1745" s="332"/>
      <c r="F1745" s="590"/>
      <c r="G1745" s="571"/>
      <c r="H1745" s="571"/>
      <c r="I1745" s="571"/>
    </row>
    <row r="1746" spans="1:9" ht="15">
      <c r="A1746" s="588"/>
      <c r="B1746" s="332"/>
      <c r="C1746" s="332"/>
      <c r="F1746" s="590"/>
      <c r="G1746" s="571"/>
      <c r="H1746" s="571"/>
      <c r="I1746" s="571"/>
    </row>
    <row r="1747" spans="1:9" ht="15">
      <c r="A1747" s="588"/>
      <c r="B1747" s="332"/>
      <c r="C1747" s="332"/>
      <c r="F1747" s="590"/>
      <c r="G1747" s="571"/>
      <c r="H1747" s="571"/>
      <c r="I1747" s="571"/>
    </row>
    <row r="1748" spans="1:9" ht="15">
      <c r="A1748" s="588"/>
      <c r="B1748" s="332"/>
      <c r="C1748" s="332"/>
      <c r="F1748" s="590"/>
      <c r="G1748" s="571"/>
      <c r="H1748" s="571"/>
      <c r="I1748" s="571"/>
    </row>
    <row r="1749" spans="1:9" ht="15">
      <c r="A1749" s="588"/>
      <c r="B1749" s="332"/>
      <c r="C1749" s="332"/>
      <c r="F1749" s="590"/>
      <c r="G1749" s="571"/>
      <c r="H1749" s="571"/>
      <c r="I1749" s="571"/>
    </row>
    <row r="1750" spans="1:9" ht="15">
      <c r="A1750" s="588"/>
      <c r="B1750" s="332"/>
      <c r="C1750" s="332"/>
      <c r="F1750" s="590"/>
      <c r="G1750" s="571"/>
      <c r="H1750" s="571"/>
      <c r="I1750" s="571"/>
    </row>
    <row r="1751" spans="1:9" ht="15">
      <c r="A1751" s="588"/>
      <c r="B1751" s="332"/>
      <c r="C1751" s="332"/>
      <c r="F1751" s="590"/>
      <c r="G1751" s="571"/>
      <c r="H1751" s="571"/>
      <c r="I1751" s="571"/>
    </row>
    <row r="1752" spans="1:9" ht="15">
      <c r="A1752" s="588"/>
      <c r="B1752" s="332"/>
      <c r="C1752" s="332"/>
      <c r="F1752" s="590"/>
      <c r="G1752" s="571"/>
      <c r="H1752" s="571"/>
      <c r="I1752" s="571"/>
    </row>
    <row r="1753" spans="1:9" ht="15">
      <c r="A1753" s="588"/>
      <c r="B1753" s="332"/>
      <c r="C1753" s="332"/>
      <c r="F1753" s="590"/>
      <c r="G1753" s="571"/>
      <c r="H1753" s="571"/>
      <c r="I1753" s="571"/>
    </row>
    <row r="1754" spans="1:9" ht="15">
      <c r="A1754" s="588"/>
      <c r="B1754" s="332"/>
      <c r="C1754" s="332"/>
      <c r="F1754" s="590"/>
      <c r="G1754" s="571"/>
      <c r="H1754" s="571"/>
      <c r="I1754" s="571"/>
    </row>
    <row r="1755" spans="1:9" ht="15">
      <c r="A1755" s="588"/>
      <c r="B1755" s="332"/>
      <c r="C1755" s="332"/>
      <c r="F1755" s="590"/>
      <c r="G1755" s="571"/>
      <c r="H1755" s="571"/>
      <c r="I1755" s="571"/>
    </row>
    <row r="1756" spans="1:9" ht="15">
      <c r="A1756" s="588"/>
      <c r="B1756" s="332"/>
      <c r="C1756" s="332"/>
      <c r="F1756" s="590"/>
      <c r="G1756" s="571"/>
      <c r="H1756" s="571"/>
      <c r="I1756" s="571"/>
    </row>
    <row r="1757" spans="1:9" ht="15">
      <c r="A1757" s="588"/>
      <c r="B1757" s="332"/>
      <c r="C1757" s="332"/>
      <c r="F1757" s="590"/>
      <c r="G1757" s="571"/>
      <c r="H1757" s="571"/>
      <c r="I1757" s="571"/>
    </row>
    <row r="1758" spans="1:9" ht="15">
      <c r="A1758" s="588"/>
      <c r="B1758" s="332"/>
      <c r="C1758" s="332"/>
      <c r="F1758" s="590"/>
      <c r="G1758" s="571"/>
      <c r="H1758" s="571"/>
      <c r="I1758" s="571"/>
    </row>
    <row r="1759" spans="1:9" ht="15">
      <c r="A1759" s="588"/>
      <c r="B1759" s="332"/>
      <c r="C1759" s="332"/>
      <c r="F1759" s="590"/>
      <c r="G1759" s="571"/>
      <c r="H1759" s="571"/>
      <c r="I1759" s="571"/>
    </row>
    <row r="1760" spans="1:9" ht="15">
      <c r="A1760" s="588"/>
      <c r="B1760" s="332"/>
      <c r="C1760" s="332"/>
      <c r="F1760" s="590"/>
      <c r="G1760" s="571"/>
      <c r="H1760" s="571"/>
      <c r="I1760" s="571"/>
    </row>
    <row r="1761" spans="1:9" ht="15">
      <c r="A1761" s="588"/>
      <c r="B1761" s="332"/>
      <c r="C1761" s="332"/>
      <c r="F1761" s="590"/>
      <c r="G1761" s="571"/>
      <c r="H1761" s="571"/>
      <c r="I1761" s="571"/>
    </row>
    <row r="1762" spans="1:9" ht="15">
      <c r="A1762" s="588"/>
      <c r="B1762" s="332"/>
      <c r="C1762" s="332"/>
      <c r="F1762" s="590"/>
      <c r="G1762" s="571"/>
      <c r="H1762" s="571"/>
      <c r="I1762" s="571"/>
    </row>
    <row r="1763" spans="1:9" ht="15">
      <c r="A1763" s="588"/>
      <c r="B1763" s="332"/>
      <c r="C1763" s="332"/>
      <c r="F1763" s="590"/>
      <c r="G1763" s="571"/>
      <c r="H1763" s="571"/>
      <c r="I1763" s="571"/>
    </row>
    <row r="1764" spans="1:9" ht="15">
      <c r="A1764" s="588"/>
      <c r="B1764" s="332"/>
      <c r="C1764" s="332"/>
      <c r="F1764" s="590"/>
      <c r="G1764" s="571"/>
      <c r="H1764" s="571"/>
      <c r="I1764" s="571"/>
    </row>
    <row r="1765" spans="1:9" ht="15">
      <c r="A1765" s="588"/>
      <c r="B1765" s="332"/>
      <c r="C1765" s="332"/>
      <c r="F1765" s="590"/>
      <c r="G1765" s="571"/>
      <c r="H1765" s="571"/>
      <c r="I1765" s="571"/>
    </row>
    <row r="1766" spans="1:9" ht="15">
      <c r="A1766" s="588"/>
      <c r="B1766" s="332"/>
      <c r="C1766" s="332"/>
      <c r="F1766" s="590"/>
      <c r="G1766" s="571"/>
      <c r="H1766" s="571"/>
      <c r="I1766" s="571"/>
    </row>
    <row r="1767" spans="1:9" ht="15">
      <c r="A1767" s="588"/>
      <c r="B1767" s="332"/>
      <c r="C1767" s="332"/>
      <c r="F1767" s="590"/>
      <c r="G1767" s="571"/>
      <c r="H1767" s="571"/>
      <c r="I1767" s="571"/>
    </row>
    <row r="1768" spans="1:9" ht="15">
      <c r="A1768" s="588"/>
      <c r="B1768" s="332"/>
      <c r="C1768" s="332"/>
      <c r="F1768" s="590"/>
      <c r="G1768" s="571"/>
      <c r="H1768" s="571"/>
      <c r="I1768" s="571"/>
    </row>
    <row r="1769" spans="1:9" ht="15">
      <c r="A1769" s="588"/>
      <c r="B1769" s="332"/>
      <c r="C1769" s="332"/>
      <c r="F1769" s="590"/>
      <c r="G1769" s="571"/>
      <c r="H1769" s="571"/>
      <c r="I1769" s="571"/>
    </row>
    <row r="1770" spans="1:9" ht="15">
      <c r="A1770" s="588"/>
      <c r="B1770" s="332"/>
      <c r="C1770" s="332"/>
      <c r="F1770" s="590"/>
      <c r="G1770" s="571"/>
      <c r="H1770" s="571"/>
      <c r="I1770" s="571"/>
    </row>
    <row r="1771" spans="1:9" ht="15">
      <c r="A1771" s="588"/>
      <c r="B1771" s="332"/>
      <c r="C1771" s="332"/>
      <c r="F1771" s="590"/>
      <c r="G1771" s="571"/>
      <c r="H1771" s="571"/>
      <c r="I1771" s="571"/>
    </row>
    <row r="1772" spans="1:9" ht="15">
      <c r="A1772" s="588"/>
      <c r="B1772" s="332"/>
      <c r="C1772" s="332"/>
      <c r="F1772" s="590"/>
      <c r="G1772" s="571"/>
      <c r="H1772" s="571"/>
      <c r="I1772" s="571"/>
    </row>
    <row r="1773" spans="1:9" ht="15">
      <c r="A1773" s="588"/>
      <c r="B1773" s="332"/>
      <c r="C1773" s="332"/>
      <c r="F1773" s="590"/>
      <c r="G1773" s="571"/>
      <c r="H1773" s="571"/>
      <c r="I1773" s="571"/>
    </row>
    <row r="1774" spans="1:9" ht="15">
      <c r="A1774" s="588"/>
      <c r="B1774" s="332"/>
      <c r="C1774" s="332"/>
      <c r="F1774" s="590"/>
      <c r="G1774" s="571"/>
      <c r="H1774" s="571"/>
      <c r="I1774" s="571"/>
    </row>
    <row r="1775" spans="1:9" ht="15">
      <c r="A1775" s="588"/>
      <c r="B1775" s="332"/>
      <c r="C1775" s="332"/>
      <c r="F1775" s="590"/>
      <c r="G1775" s="571"/>
      <c r="H1775" s="571"/>
      <c r="I1775" s="571"/>
    </row>
    <row r="1776" spans="1:9" ht="15">
      <c r="A1776" s="588"/>
      <c r="B1776" s="332"/>
      <c r="C1776" s="332"/>
      <c r="F1776" s="590"/>
      <c r="G1776" s="571"/>
      <c r="H1776" s="571"/>
      <c r="I1776" s="571"/>
    </row>
    <row r="1777" spans="1:9" ht="15">
      <c r="A1777" s="588"/>
      <c r="B1777" s="332"/>
      <c r="C1777" s="332"/>
      <c r="F1777" s="590"/>
      <c r="G1777" s="571"/>
      <c r="H1777" s="571"/>
      <c r="I1777" s="571"/>
    </row>
    <row r="1778" spans="1:9" ht="15">
      <c r="A1778" s="588"/>
      <c r="B1778" s="332"/>
      <c r="C1778" s="332"/>
      <c r="F1778" s="590"/>
      <c r="G1778" s="571"/>
      <c r="H1778" s="571"/>
      <c r="I1778" s="571"/>
    </row>
    <row r="1779" spans="1:9" ht="15">
      <c r="A1779" s="588"/>
      <c r="B1779" s="332"/>
      <c r="C1779" s="332"/>
      <c r="F1779" s="590"/>
      <c r="G1779" s="571"/>
      <c r="H1779" s="571"/>
      <c r="I1779" s="571"/>
    </row>
    <row r="1780" spans="1:9" ht="15">
      <c r="A1780" s="588"/>
      <c r="B1780" s="332"/>
      <c r="C1780" s="332"/>
      <c r="F1780" s="590"/>
      <c r="G1780" s="571"/>
      <c r="H1780" s="571"/>
      <c r="I1780" s="571"/>
    </row>
    <row r="1781" spans="1:9" ht="15">
      <c r="A1781" s="588"/>
      <c r="B1781" s="332"/>
      <c r="C1781" s="332"/>
      <c r="F1781" s="590"/>
      <c r="G1781" s="571"/>
      <c r="H1781" s="571"/>
      <c r="I1781" s="571"/>
    </row>
    <row r="1782" spans="1:9" ht="15">
      <c r="A1782" s="588"/>
      <c r="B1782" s="332"/>
      <c r="C1782" s="332"/>
      <c r="F1782" s="590"/>
      <c r="G1782" s="571"/>
      <c r="H1782" s="571"/>
      <c r="I1782" s="571"/>
    </row>
    <row r="1783" spans="1:9" ht="15">
      <c r="A1783" s="588"/>
      <c r="B1783" s="332"/>
      <c r="C1783" s="332"/>
      <c r="F1783" s="590"/>
      <c r="G1783" s="571"/>
      <c r="H1783" s="571"/>
      <c r="I1783" s="571"/>
    </row>
    <row r="1784" spans="1:9" ht="15">
      <c r="A1784" s="588"/>
      <c r="B1784" s="332"/>
      <c r="C1784" s="332"/>
      <c r="F1784" s="590"/>
      <c r="G1784" s="571"/>
      <c r="H1784" s="571"/>
      <c r="I1784" s="571"/>
    </row>
    <row r="1785" spans="1:9" ht="15">
      <c r="A1785" s="588"/>
      <c r="B1785" s="332"/>
      <c r="C1785" s="332"/>
      <c r="F1785" s="590"/>
      <c r="G1785" s="571"/>
      <c r="H1785" s="571"/>
      <c r="I1785" s="571"/>
    </row>
    <row r="1786" spans="1:9" ht="15">
      <c r="A1786" s="588"/>
      <c r="B1786" s="332"/>
      <c r="C1786" s="332"/>
      <c r="F1786" s="590"/>
      <c r="G1786" s="571"/>
      <c r="H1786" s="571"/>
      <c r="I1786" s="571"/>
    </row>
    <row r="1787" spans="1:9" ht="15">
      <c r="A1787" s="588"/>
      <c r="B1787" s="332"/>
      <c r="C1787" s="332"/>
      <c r="F1787" s="590"/>
      <c r="G1787" s="571"/>
      <c r="H1787" s="571"/>
      <c r="I1787" s="571"/>
    </row>
    <row r="1788" spans="1:9" ht="15">
      <c r="A1788" s="588"/>
      <c r="B1788" s="332"/>
      <c r="C1788" s="332"/>
      <c r="F1788" s="590"/>
      <c r="G1788" s="571"/>
      <c r="H1788" s="571"/>
      <c r="I1788" s="571"/>
    </row>
    <row r="1789" spans="1:9" ht="15">
      <c r="A1789" s="588"/>
      <c r="B1789" s="332"/>
      <c r="C1789" s="332"/>
      <c r="F1789" s="590"/>
      <c r="G1789" s="571"/>
      <c r="H1789" s="571"/>
      <c r="I1789" s="571"/>
    </row>
    <row r="1790" spans="1:9" ht="15">
      <c r="A1790" s="588"/>
      <c r="B1790" s="332"/>
      <c r="C1790" s="332"/>
      <c r="F1790" s="590"/>
      <c r="G1790" s="571"/>
      <c r="H1790" s="571"/>
      <c r="I1790" s="571"/>
    </row>
    <row r="1791" spans="1:9" ht="15">
      <c r="A1791" s="588"/>
      <c r="B1791" s="332"/>
      <c r="C1791" s="332"/>
      <c r="F1791" s="590"/>
      <c r="G1791" s="571"/>
      <c r="H1791" s="571"/>
      <c r="I1791" s="571"/>
    </row>
    <row r="1792" spans="1:9" ht="15">
      <c r="A1792" s="588"/>
      <c r="B1792" s="332"/>
      <c r="C1792" s="332"/>
      <c r="F1792" s="590"/>
      <c r="G1792" s="571"/>
      <c r="H1792" s="571"/>
      <c r="I1792" s="571"/>
    </row>
    <row r="1793" spans="1:9" ht="15">
      <c r="A1793" s="588"/>
      <c r="B1793" s="332"/>
      <c r="C1793" s="332"/>
      <c r="F1793" s="590"/>
      <c r="G1793" s="571"/>
      <c r="H1793" s="571"/>
      <c r="I1793" s="571"/>
    </row>
    <row r="1794" spans="1:9" ht="15">
      <c r="A1794" s="588"/>
      <c r="B1794" s="332"/>
      <c r="C1794" s="332"/>
      <c r="F1794" s="590"/>
      <c r="G1794" s="571"/>
      <c r="H1794" s="571"/>
      <c r="I1794" s="571"/>
    </row>
    <row r="1795" spans="1:9" ht="15">
      <c r="A1795" s="588"/>
      <c r="B1795" s="332"/>
      <c r="C1795" s="332"/>
      <c r="F1795" s="590"/>
      <c r="G1795" s="571"/>
      <c r="H1795" s="571"/>
      <c r="I1795" s="571"/>
    </row>
    <row r="1796" spans="1:9" ht="15">
      <c r="A1796" s="588"/>
      <c r="B1796" s="332"/>
      <c r="C1796" s="332"/>
      <c r="F1796" s="590"/>
      <c r="G1796" s="571"/>
      <c r="H1796" s="571"/>
      <c r="I1796" s="571"/>
    </row>
    <row r="1797" spans="1:9" ht="15">
      <c r="A1797" s="588"/>
      <c r="B1797" s="332"/>
      <c r="C1797" s="332"/>
      <c r="F1797" s="590"/>
      <c r="G1797" s="571"/>
      <c r="H1797" s="571"/>
      <c r="I1797" s="571"/>
    </row>
    <row r="1798" spans="1:9" ht="15">
      <c r="A1798" s="588"/>
      <c r="B1798" s="332"/>
      <c r="C1798" s="332"/>
      <c r="F1798" s="590"/>
      <c r="G1798" s="571"/>
      <c r="H1798" s="571"/>
      <c r="I1798" s="571"/>
    </row>
    <row r="1799" spans="1:9" ht="15">
      <c r="A1799" s="588"/>
      <c r="B1799" s="332"/>
      <c r="C1799" s="332"/>
      <c r="F1799" s="590"/>
      <c r="G1799" s="571"/>
      <c r="H1799" s="571"/>
      <c r="I1799" s="571"/>
    </row>
    <row r="1800" spans="1:9" ht="15">
      <c r="A1800" s="588"/>
      <c r="B1800" s="332"/>
      <c r="C1800" s="332"/>
      <c r="F1800" s="590"/>
      <c r="G1800" s="571"/>
      <c r="H1800" s="571"/>
      <c r="I1800" s="571"/>
    </row>
    <row r="1801" spans="1:9" ht="15">
      <c r="A1801" s="588"/>
      <c r="B1801" s="332"/>
      <c r="C1801" s="332"/>
      <c r="F1801" s="590"/>
      <c r="G1801" s="571"/>
      <c r="H1801" s="571"/>
      <c r="I1801" s="571"/>
    </row>
    <row r="1802" spans="1:9" ht="15">
      <c r="A1802" s="588"/>
      <c r="B1802" s="332"/>
      <c r="C1802" s="332"/>
      <c r="F1802" s="590"/>
      <c r="G1802" s="571"/>
      <c r="H1802" s="571"/>
      <c r="I1802" s="571"/>
    </row>
    <row r="1803" spans="1:9" ht="15">
      <c r="A1803" s="588"/>
      <c r="B1803" s="332"/>
      <c r="C1803" s="332"/>
      <c r="F1803" s="590"/>
      <c r="G1803" s="571"/>
      <c r="H1803" s="571"/>
      <c r="I1803" s="571"/>
    </row>
    <row r="1804" spans="1:9" ht="15">
      <c r="A1804" s="588"/>
      <c r="B1804" s="332"/>
      <c r="C1804" s="332"/>
      <c r="F1804" s="590"/>
      <c r="G1804" s="571"/>
      <c r="H1804" s="571"/>
      <c r="I1804" s="571"/>
    </row>
    <row r="1805" spans="1:9" ht="15">
      <c r="A1805" s="588"/>
      <c r="B1805" s="332"/>
      <c r="C1805" s="332"/>
      <c r="F1805" s="590"/>
      <c r="G1805" s="571"/>
      <c r="H1805" s="571"/>
      <c r="I1805" s="571"/>
    </row>
    <row r="1806" spans="1:9" ht="15">
      <c r="A1806" s="588"/>
      <c r="B1806" s="332"/>
      <c r="C1806" s="332"/>
      <c r="F1806" s="590"/>
      <c r="G1806" s="571"/>
      <c r="H1806" s="571"/>
      <c r="I1806" s="571"/>
    </row>
    <row r="1807" spans="1:9" ht="15">
      <c r="A1807" s="588"/>
      <c r="B1807" s="332"/>
      <c r="C1807" s="332"/>
      <c r="F1807" s="590"/>
      <c r="G1807" s="571"/>
      <c r="H1807" s="571"/>
      <c r="I1807" s="571"/>
    </row>
    <row r="1808" spans="1:9" ht="15">
      <c r="A1808" s="588"/>
      <c r="B1808" s="332"/>
      <c r="C1808" s="332"/>
      <c r="F1808" s="590"/>
      <c r="G1808" s="571"/>
      <c r="H1808" s="571"/>
      <c r="I1808" s="571"/>
    </row>
    <row r="1809" spans="1:9" ht="15">
      <c r="A1809" s="588"/>
      <c r="B1809" s="332"/>
      <c r="C1809" s="332"/>
      <c r="F1809" s="590"/>
      <c r="G1809" s="571"/>
      <c r="H1809" s="571"/>
      <c r="I1809" s="571"/>
    </row>
    <row r="1810" spans="1:9" ht="15">
      <c r="A1810" s="588"/>
      <c r="B1810" s="332"/>
      <c r="C1810" s="332"/>
      <c r="F1810" s="590"/>
      <c r="G1810" s="571"/>
      <c r="H1810" s="571"/>
      <c r="I1810" s="571"/>
    </row>
    <row r="1811" spans="1:9" ht="15">
      <c r="A1811" s="588"/>
      <c r="B1811" s="332"/>
      <c r="C1811" s="332"/>
      <c r="F1811" s="590"/>
      <c r="G1811" s="571"/>
      <c r="H1811" s="571"/>
      <c r="I1811" s="571"/>
    </row>
    <row r="1812" spans="1:9" ht="15">
      <c r="A1812" s="588"/>
      <c r="B1812" s="332"/>
      <c r="C1812" s="332"/>
      <c r="F1812" s="590"/>
      <c r="G1812" s="571"/>
      <c r="H1812" s="571"/>
      <c r="I1812" s="571"/>
    </row>
    <row r="1813" spans="1:9" ht="15">
      <c r="A1813" s="588"/>
      <c r="B1813" s="332"/>
      <c r="C1813" s="332"/>
      <c r="F1813" s="590"/>
      <c r="G1813" s="571"/>
      <c r="H1813" s="571"/>
      <c r="I1813" s="571"/>
    </row>
    <row r="1814" spans="1:9" ht="15">
      <c r="A1814" s="588"/>
      <c r="B1814" s="332"/>
      <c r="C1814" s="332"/>
      <c r="F1814" s="590"/>
      <c r="G1814" s="571"/>
      <c r="H1814" s="571"/>
      <c r="I1814" s="571"/>
    </row>
    <row r="1815" spans="1:9" ht="15">
      <c r="A1815" s="588"/>
      <c r="B1815" s="332"/>
      <c r="C1815" s="332"/>
      <c r="F1815" s="590"/>
      <c r="G1815" s="571"/>
      <c r="H1815" s="571"/>
      <c r="I1815" s="571"/>
    </row>
    <row r="1816" spans="1:9" ht="15">
      <c r="A1816" s="588"/>
      <c r="B1816" s="332"/>
      <c r="C1816" s="332"/>
      <c r="F1816" s="590"/>
      <c r="G1816" s="571"/>
      <c r="H1816" s="571"/>
      <c r="I1816" s="571"/>
    </row>
    <row r="1817" spans="1:9" ht="15">
      <c r="A1817" s="588"/>
      <c r="B1817" s="332"/>
      <c r="C1817" s="332"/>
      <c r="F1817" s="590"/>
      <c r="G1817" s="571"/>
      <c r="H1817" s="571"/>
      <c r="I1817" s="571"/>
    </row>
    <row r="1818" spans="1:9" ht="15">
      <c r="A1818" s="588"/>
      <c r="B1818" s="332"/>
      <c r="C1818" s="332"/>
      <c r="F1818" s="590"/>
      <c r="G1818" s="571"/>
      <c r="H1818" s="571"/>
      <c r="I1818" s="571"/>
    </row>
    <row r="1819" spans="1:9" ht="15">
      <c r="A1819" s="588"/>
      <c r="B1819" s="332"/>
      <c r="C1819" s="332"/>
      <c r="F1819" s="590"/>
      <c r="G1819" s="571"/>
      <c r="H1819" s="571"/>
      <c r="I1819" s="571"/>
    </row>
    <row r="1820" spans="1:9" ht="15">
      <c r="A1820" s="588"/>
      <c r="B1820" s="332"/>
      <c r="C1820" s="332"/>
      <c r="F1820" s="590"/>
      <c r="G1820" s="571"/>
      <c r="H1820" s="571"/>
      <c r="I1820" s="571"/>
    </row>
    <row r="1821" spans="1:9" ht="15">
      <c r="A1821" s="588"/>
      <c r="B1821" s="332"/>
      <c r="C1821" s="332"/>
      <c r="F1821" s="590"/>
      <c r="G1821" s="571"/>
      <c r="H1821" s="571"/>
      <c r="I1821" s="571"/>
    </row>
    <row r="1822" spans="1:9" ht="15">
      <c r="A1822" s="588"/>
      <c r="B1822" s="332"/>
      <c r="C1822" s="332"/>
      <c r="F1822" s="590"/>
      <c r="G1822" s="571"/>
      <c r="H1822" s="571"/>
      <c r="I1822" s="571"/>
    </row>
    <row r="1823" spans="1:9" ht="15">
      <c r="A1823" s="588"/>
      <c r="B1823" s="332"/>
      <c r="C1823" s="332"/>
      <c r="F1823" s="590"/>
      <c r="G1823" s="571"/>
      <c r="H1823" s="571"/>
      <c r="I1823" s="571"/>
    </row>
    <row r="1824" spans="1:9" ht="15">
      <c r="A1824" s="588"/>
      <c r="B1824" s="332"/>
      <c r="C1824" s="332"/>
      <c r="F1824" s="590"/>
      <c r="G1824" s="571"/>
      <c r="H1824" s="571"/>
      <c r="I1824" s="571"/>
    </row>
    <row r="1825" spans="1:9" ht="15">
      <c r="A1825" s="588"/>
      <c r="B1825" s="332"/>
      <c r="C1825" s="332"/>
      <c r="F1825" s="590"/>
      <c r="G1825" s="571"/>
      <c r="H1825" s="571"/>
      <c r="I1825" s="571"/>
    </row>
    <row r="1826" spans="1:9" ht="15">
      <c r="A1826" s="588"/>
      <c r="B1826" s="332"/>
      <c r="C1826" s="332"/>
      <c r="F1826" s="590"/>
      <c r="G1826" s="571"/>
      <c r="H1826" s="571"/>
      <c r="I1826" s="571"/>
    </row>
    <row r="1827" spans="1:9" ht="15">
      <c r="A1827" s="588"/>
      <c r="B1827" s="332"/>
      <c r="C1827" s="332"/>
      <c r="F1827" s="590"/>
      <c r="G1827" s="571"/>
      <c r="H1827" s="571"/>
      <c r="I1827" s="571"/>
    </row>
    <row r="1828" spans="1:9" ht="15">
      <c r="A1828" s="588"/>
      <c r="B1828" s="332"/>
      <c r="C1828" s="332"/>
      <c r="F1828" s="590"/>
      <c r="G1828" s="571"/>
      <c r="H1828" s="571"/>
      <c r="I1828" s="571"/>
    </row>
    <row r="1829" spans="1:9" ht="15">
      <c r="A1829" s="588"/>
      <c r="B1829" s="332"/>
      <c r="C1829" s="332"/>
      <c r="F1829" s="590"/>
      <c r="G1829" s="571"/>
      <c r="H1829" s="571"/>
      <c r="I1829" s="571"/>
    </row>
    <row r="1830" spans="1:9" ht="15">
      <c r="A1830" s="588"/>
      <c r="B1830" s="332"/>
      <c r="C1830" s="332"/>
      <c r="F1830" s="590"/>
      <c r="G1830" s="571"/>
      <c r="H1830" s="571"/>
      <c r="I1830" s="571"/>
    </row>
    <row r="1831" spans="1:9" ht="15">
      <c r="A1831" s="588"/>
      <c r="B1831" s="332"/>
      <c r="C1831" s="332"/>
      <c r="F1831" s="590"/>
      <c r="G1831" s="571"/>
      <c r="H1831" s="571"/>
      <c r="I1831" s="571"/>
    </row>
    <row r="1832" spans="1:9" ht="15">
      <c r="A1832" s="588"/>
      <c r="B1832" s="332"/>
      <c r="C1832" s="332"/>
      <c r="F1832" s="590"/>
      <c r="G1832" s="571"/>
      <c r="H1832" s="571"/>
      <c r="I1832" s="571"/>
    </row>
    <row r="1833" spans="1:9" ht="15">
      <c r="A1833" s="588"/>
      <c r="B1833" s="332"/>
      <c r="C1833" s="332"/>
      <c r="F1833" s="590"/>
      <c r="G1833" s="571"/>
      <c r="H1833" s="571"/>
      <c r="I1833" s="571"/>
    </row>
    <row r="1834" spans="1:9" ht="15">
      <c r="A1834" s="588"/>
      <c r="B1834" s="332"/>
      <c r="C1834" s="332"/>
      <c r="F1834" s="590"/>
      <c r="G1834" s="571"/>
      <c r="H1834" s="571"/>
      <c r="I1834" s="571"/>
    </row>
    <row r="1835" spans="1:9" ht="15">
      <c r="A1835" s="588"/>
      <c r="B1835" s="332"/>
      <c r="C1835" s="332"/>
      <c r="F1835" s="590"/>
      <c r="G1835" s="571"/>
      <c r="H1835" s="571"/>
      <c r="I1835" s="571"/>
    </row>
    <row r="1836" spans="1:9" ht="15">
      <c r="A1836" s="588"/>
      <c r="B1836" s="332"/>
      <c r="C1836" s="332"/>
      <c r="F1836" s="590"/>
      <c r="G1836" s="571"/>
      <c r="H1836" s="571"/>
      <c r="I1836" s="571"/>
    </row>
    <row r="1837" spans="1:9" ht="15">
      <c r="A1837" s="588"/>
      <c r="B1837" s="332"/>
      <c r="C1837" s="332"/>
      <c r="F1837" s="590"/>
      <c r="G1837" s="571"/>
      <c r="H1837" s="571"/>
      <c r="I1837" s="571"/>
    </row>
    <row r="1838" spans="1:9" ht="15">
      <c r="A1838" s="588"/>
      <c r="B1838" s="332"/>
      <c r="C1838" s="332"/>
      <c r="F1838" s="590"/>
      <c r="G1838" s="571"/>
      <c r="H1838" s="571"/>
      <c r="I1838" s="571"/>
    </row>
    <row r="1839" spans="1:9" ht="15">
      <c r="A1839" s="588"/>
      <c r="B1839" s="332"/>
      <c r="C1839" s="332"/>
      <c r="F1839" s="590"/>
      <c r="G1839" s="571"/>
      <c r="H1839" s="571"/>
      <c r="I1839" s="571"/>
    </row>
    <row r="1840" spans="1:9" ht="15">
      <c r="A1840" s="588"/>
      <c r="B1840" s="332"/>
      <c r="C1840" s="332"/>
      <c r="F1840" s="590"/>
      <c r="G1840" s="571"/>
      <c r="H1840" s="571"/>
      <c r="I1840" s="571"/>
    </row>
    <row r="1841" spans="1:9" ht="15">
      <c r="A1841" s="588"/>
      <c r="B1841" s="332"/>
      <c r="C1841" s="332"/>
      <c r="F1841" s="590"/>
      <c r="G1841" s="571"/>
      <c r="H1841" s="571"/>
      <c r="I1841" s="571"/>
    </row>
    <row r="1842" spans="1:9" ht="15">
      <c r="A1842" s="588"/>
      <c r="B1842" s="332"/>
      <c r="C1842" s="332"/>
      <c r="F1842" s="590"/>
      <c r="G1842" s="571"/>
      <c r="H1842" s="571"/>
      <c r="I1842" s="571"/>
    </row>
    <row r="1843" spans="1:9" ht="15">
      <c r="A1843" s="588"/>
      <c r="B1843" s="332"/>
      <c r="C1843" s="332"/>
      <c r="F1843" s="590"/>
      <c r="G1843" s="571"/>
      <c r="H1843" s="571"/>
      <c r="I1843" s="571"/>
    </row>
    <row r="1844" spans="1:9" ht="15">
      <c r="A1844" s="588"/>
      <c r="B1844" s="332"/>
      <c r="C1844" s="332"/>
      <c r="F1844" s="590"/>
      <c r="G1844" s="571"/>
      <c r="H1844" s="571"/>
      <c r="I1844" s="571"/>
    </row>
    <row r="1845" spans="1:9" ht="15">
      <c r="A1845" s="588"/>
      <c r="B1845" s="332"/>
      <c r="C1845" s="332"/>
      <c r="F1845" s="590"/>
      <c r="G1845" s="571"/>
      <c r="H1845" s="571"/>
      <c r="I1845" s="571"/>
    </row>
    <row r="1846" spans="1:9" ht="15">
      <c r="A1846" s="588"/>
      <c r="B1846" s="332"/>
      <c r="C1846" s="332"/>
      <c r="F1846" s="590"/>
      <c r="G1846" s="571"/>
      <c r="H1846" s="571"/>
      <c r="I1846" s="571"/>
    </row>
    <row r="1847" spans="1:9" ht="15">
      <c r="A1847" s="588"/>
      <c r="B1847" s="332"/>
      <c r="C1847" s="332"/>
      <c r="F1847" s="590"/>
      <c r="G1847" s="571"/>
      <c r="H1847" s="571"/>
      <c r="I1847" s="571"/>
    </row>
    <row r="1848" spans="1:9" ht="15">
      <c r="A1848" s="588"/>
      <c r="B1848" s="332"/>
      <c r="C1848" s="332"/>
      <c r="F1848" s="590"/>
      <c r="G1848" s="571"/>
      <c r="H1848" s="571"/>
      <c r="I1848" s="571"/>
    </row>
    <row r="1849" spans="1:9" ht="15">
      <c r="A1849" s="588"/>
      <c r="B1849" s="332"/>
      <c r="C1849" s="332"/>
      <c r="F1849" s="590"/>
      <c r="G1849" s="571"/>
      <c r="H1849" s="571"/>
      <c r="I1849" s="571"/>
    </row>
    <row r="1850" spans="1:9" ht="15">
      <c r="A1850" s="588"/>
      <c r="B1850" s="332"/>
      <c r="C1850" s="332"/>
      <c r="F1850" s="590"/>
      <c r="G1850" s="571"/>
      <c r="H1850" s="571"/>
      <c r="I1850" s="571"/>
    </row>
    <row r="1851" spans="1:9" ht="15">
      <c r="A1851" s="588"/>
      <c r="B1851" s="332"/>
      <c r="C1851" s="332"/>
      <c r="F1851" s="590"/>
      <c r="G1851" s="571"/>
      <c r="H1851" s="571"/>
      <c r="I1851" s="571"/>
    </row>
    <row r="1852" spans="1:9" ht="15">
      <c r="A1852" s="588"/>
      <c r="B1852" s="332"/>
      <c r="C1852" s="332"/>
      <c r="F1852" s="590"/>
      <c r="G1852" s="571"/>
      <c r="H1852" s="571"/>
      <c r="I1852" s="571"/>
    </row>
    <row r="1853" spans="1:9" ht="15">
      <c r="A1853" s="588"/>
      <c r="B1853" s="332"/>
      <c r="C1853" s="332"/>
      <c r="F1853" s="590"/>
      <c r="G1853" s="571"/>
      <c r="H1853" s="571"/>
      <c r="I1853" s="571"/>
    </row>
    <row r="1854" spans="1:9" ht="15">
      <c r="A1854" s="588"/>
      <c r="B1854" s="332"/>
      <c r="C1854" s="332"/>
      <c r="F1854" s="590"/>
      <c r="G1854" s="571"/>
      <c r="H1854" s="571"/>
      <c r="I1854" s="571"/>
    </row>
    <row r="1855" spans="1:9" ht="15">
      <c r="A1855" s="588"/>
      <c r="B1855" s="332"/>
      <c r="C1855" s="332"/>
      <c r="F1855" s="590"/>
      <c r="G1855" s="571"/>
      <c r="H1855" s="571"/>
      <c r="I1855" s="571"/>
    </row>
    <row r="1856" spans="1:9" ht="15">
      <c r="A1856" s="588"/>
      <c r="B1856" s="332"/>
      <c r="C1856" s="332"/>
      <c r="F1856" s="590"/>
      <c r="G1856" s="571"/>
      <c r="H1856" s="571"/>
      <c r="I1856" s="571"/>
    </row>
    <row r="1857" spans="1:9" ht="15">
      <c r="A1857" s="588"/>
      <c r="B1857" s="332"/>
      <c r="C1857" s="332"/>
      <c r="F1857" s="590"/>
      <c r="G1857" s="571"/>
      <c r="H1857" s="571"/>
      <c r="I1857" s="571"/>
    </row>
    <row r="1858" spans="1:9" ht="15">
      <c r="A1858" s="588"/>
      <c r="B1858" s="332"/>
      <c r="C1858" s="332"/>
      <c r="F1858" s="590"/>
      <c r="G1858" s="571"/>
      <c r="H1858" s="571"/>
      <c r="I1858" s="571"/>
    </row>
    <row r="1859" spans="1:9" ht="15">
      <c r="A1859" s="588"/>
      <c r="B1859" s="332"/>
      <c r="C1859" s="332"/>
      <c r="F1859" s="590"/>
      <c r="G1859" s="571"/>
      <c r="H1859" s="571"/>
      <c r="I1859" s="571"/>
    </row>
    <row r="1860" spans="1:9" ht="15">
      <c r="A1860" s="588"/>
      <c r="B1860" s="332"/>
      <c r="C1860" s="332"/>
      <c r="F1860" s="590"/>
      <c r="G1860" s="571"/>
      <c r="H1860" s="571"/>
      <c r="I1860" s="571"/>
    </row>
    <row r="1861" spans="1:9" ht="15">
      <c r="A1861" s="588"/>
      <c r="B1861" s="332"/>
      <c r="C1861" s="332"/>
      <c r="F1861" s="590"/>
      <c r="G1861" s="571"/>
      <c r="H1861" s="571"/>
      <c r="I1861" s="571"/>
    </row>
    <row r="1862" spans="1:9" ht="15">
      <c r="A1862" s="588"/>
      <c r="B1862" s="332"/>
      <c r="C1862" s="332"/>
      <c r="F1862" s="590"/>
      <c r="G1862" s="571"/>
      <c r="H1862" s="571"/>
      <c r="I1862" s="571"/>
    </row>
    <row r="1863" spans="1:9" ht="15">
      <c r="A1863" s="588"/>
      <c r="B1863" s="332"/>
      <c r="C1863" s="332"/>
      <c r="F1863" s="590"/>
      <c r="G1863" s="571"/>
      <c r="H1863" s="571"/>
      <c r="I1863" s="571"/>
    </row>
    <row r="1864" spans="1:9" ht="15">
      <c r="A1864" s="588"/>
      <c r="B1864" s="332"/>
      <c r="C1864" s="332"/>
      <c r="F1864" s="590"/>
      <c r="G1864" s="571"/>
      <c r="H1864" s="571"/>
      <c r="I1864" s="571"/>
    </row>
    <row r="1865" spans="1:9" ht="15">
      <c r="A1865" s="588"/>
      <c r="B1865" s="332"/>
      <c r="C1865" s="332"/>
      <c r="F1865" s="590"/>
      <c r="G1865" s="571"/>
      <c r="H1865" s="571"/>
      <c r="I1865" s="571"/>
    </row>
    <row r="1866" spans="1:9" ht="15">
      <c r="A1866" s="588"/>
      <c r="B1866" s="332"/>
      <c r="C1866" s="332"/>
      <c r="F1866" s="590"/>
      <c r="G1866" s="571"/>
      <c r="H1866" s="571"/>
      <c r="I1866" s="571"/>
    </row>
    <row r="1867" spans="1:9" ht="15">
      <c r="A1867" s="588"/>
      <c r="B1867" s="332"/>
      <c r="C1867" s="332"/>
      <c r="F1867" s="590"/>
      <c r="G1867" s="571"/>
      <c r="H1867" s="571"/>
      <c r="I1867" s="571"/>
    </row>
    <row r="1868" spans="1:9" ht="15">
      <c r="A1868" s="588"/>
      <c r="B1868" s="332"/>
      <c r="C1868" s="332"/>
      <c r="F1868" s="590"/>
      <c r="G1868" s="571"/>
      <c r="H1868" s="571"/>
      <c r="I1868" s="571"/>
    </row>
    <row r="1869" spans="1:9" ht="15">
      <c r="A1869" s="588"/>
      <c r="B1869" s="332"/>
      <c r="C1869" s="332"/>
      <c r="F1869" s="590"/>
      <c r="G1869" s="571"/>
      <c r="H1869" s="571"/>
      <c r="I1869" s="571"/>
    </row>
    <row r="1870" spans="1:9" ht="15">
      <c r="A1870" s="588"/>
      <c r="B1870" s="332"/>
      <c r="C1870" s="332"/>
      <c r="F1870" s="590"/>
      <c r="G1870" s="571"/>
      <c r="H1870" s="571"/>
      <c r="I1870" s="571"/>
    </row>
    <row r="1871" spans="1:9" ht="15">
      <c r="A1871" s="588"/>
      <c r="B1871" s="332"/>
      <c r="C1871" s="332"/>
      <c r="F1871" s="590"/>
      <c r="G1871" s="571"/>
      <c r="H1871" s="571"/>
      <c r="I1871" s="571"/>
    </row>
    <row r="1872" spans="1:9" ht="15">
      <c r="A1872" s="588"/>
      <c r="B1872" s="332"/>
      <c r="C1872" s="332"/>
      <c r="F1872" s="590"/>
      <c r="G1872" s="571"/>
      <c r="H1872" s="571"/>
      <c r="I1872" s="571"/>
    </row>
    <row r="1873" spans="1:9" ht="15">
      <c r="A1873" s="588"/>
      <c r="B1873" s="332"/>
      <c r="C1873" s="332"/>
      <c r="F1873" s="590"/>
      <c r="G1873" s="571"/>
      <c r="H1873" s="571"/>
      <c r="I1873" s="571"/>
    </row>
    <row r="1874" spans="1:9" ht="15">
      <c r="A1874" s="588"/>
      <c r="B1874" s="332"/>
      <c r="C1874" s="332"/>
      <c r="F1874" s="590"/>
      <c r="G1874" s="571"/>
      <c r="H1874" s="571"/>
      <c r="I1874" s="571"/>
    </row>
    <row r="1875" spans="1:9" ht="15">
      <c r="A1875" s="588"/>
      <c r="B1875" s="332"/>
      <c r="C1875" s="332"/>
      <c r="F1875" s="590"/>
      <c r="G1875" s="571"/>
      <c r="H1875" s="571"/>
      <c r="I1875" s="571"/>
    </row>
    <row r="1876" spans="1:9" ht="15">
      <c r="A1876" s="588"/>
      <c r="B1876" s="332"/>
      <c r="C1876" s="332"/>
      <c r="F1876" s="590"/>
      <c r="G1876" s="571"/>
      <c r="H1876" s="571"/>
      <c r="I1876" s="571"/>
    </row>
    <row r="1877" spans="1:9" ht="15">
      <c r="A1877" s="588"/>
      <c r="B1877" s="332"/>
      <c r="C1877" s="332"/>
      <c r="F1877" s="590"/>
      <c r="G1877" s="571"/>
      <c r="H1877" s="571"/>
      <c r="I1877" s="571"/>
    </row>
    <row r="1878" spans="1:9" ht="15">
      <c r="A1878" s="588"/>
      <c r="B1878" s="332"/>
      <c r="C1878" s="332"/>
      <c r="F1878" s="590"/>
      <c r="G1878" s="571"/>
      <c r="H1878" s="571"/>
      <c r="I1878" s="571"/>
    </row>
    <row r="1879" spans="1:9" ht="15">
      <c r="A1879" s="588"/>
      <c r="B1879" s="332"/>
      <c r="C1879" s="332"/>
      <c r="F1879" s="590"/>
      <c r="G1879" s="571"/>
      <c r="H1879" s="571"/>
      <c r="I1879" s="571"/>
    </row>
    <row r="1880" spans="1:9" ht="15">
      <c r="A1880" s="588"/>
      <c r="B1880" s="332"/>
      <c r="C1880" s="332"/>
      <c r="F1880" s="590"/>
      <c r="G1880" s="571"/>
      <c r="H1880" s="571"/>
      <c r="I1880" s="571"/>
    </row>
    <row r="1881" spans="1:9" ht="15">
      <c r="A1881" s="588"/>
      <c r="B1881" s="332"/>
      <c r="C1881" s="332"/>
      <c r="F1881" s="590"/>
      <c r="G1881" s="571"/>
      <c r="H1881" s="571"/>
      <c r="I1881" s="571"/>
    </row>
    <row r="1882" spans="1:9" ht="15">
      <c r="A1882" s="588"/>
      <c r="B1882" s="332"/>
      <c r="C1882" s="332"/>
      <c r="F1882" s="590"/>
      <c r="G1882" s="571"/>
      <c r="H1882" s="571"/>
      <c r="I1882" s="571"/>
    </row>
  </sheetData>
  <sheetProtection/>
  <autoFilter ref="J4:L4"/>
  <mergeCells count="2">
    <mergeCell ref="A2:F2"/>
    <mergeCell ref="A3:F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headerFooter>
    <oddHeader>&amp;CCOMPTE ADMINISTRATIF DE L'
EXERCICE BUDGETAIRE 2017   
</oddHeader>
    <oddFooter>&amp;C&amp;"-,Gras"DETAIL MINISTERIEL</oddFooter>
  </headerFooter>
  <rowBreaks count="20" manualBreakCount="20">
    <brk id="33" max="11" man="1"/>
    <brk id="58" max="11" man="1"/>
    <brk id="75" max="11" man="1"/>
    <brk id="195" max="11" man="1"/>
    <brk id="291" max="11" man="1"/>
    <brk id="405" max="11" man="1"/>
    <brk id="540" max="11" man="1"/>
    <brk id="647" max="11" man="1"/>
    <brk id="689" max="11" man="1"/>
    <brk id="777" max="11" man="1"/>
    <brk id="881" max="11" man="1"/>
    <brk id="974" max="11" man="1"/>
    <brk id="1022" max="11" man="1"/>
    <brk id="1063" max="11" man="1"/>
    <brk id="1089" max="11" man="1"/>
    <brk id="1109" max="11" man="1"/>
    <brk id="1131" max="11" man="1"/>
    <brk id="1230" max="11" man="1"/>
    <brk id="1239" max="11" man="1"/>
    <brk id="1279" max="11" man="1"/>
  </rowBreaks>
  <colBreaks count="1" manualBreakCount="1">
    <brk id="1" min="2" max="130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N1298"/>
  <sheetViews>
    <sheetView workbookViewId="0" topLeftCell="A3">
      <pane ySplit="1" topLeftCell="A192" activePane="bottomLeft" state="frozen"/>
      <selection pane="topLeft" activeCell="A3" sqref="A3"/>
      <selection pane="bottomLeft" activeCell="G289" sqref="G289"/>
    </sheetView>
  </sheetViews>
  <sheetFormatPr defaultColWidth="11.421875" defaultRowHeight="15"/>
  <cols>
    <col min="1" max="1" width="11.57421875" style="157" bestFit="1" customWidth="1"/>
    <col min="2" max="2" width="25.00390625" style="157" customWidth="1"/>
    <col min="3" max="3" width="26.00390625" style="157" customWidth="1"/>
    <col min="4" max="4" width="12.28125" style="157" customWidth="1"/>
    <col min="5" max="5" width="32.8515625" style="157" customWidth="1"/>
    <col min="6" max="7" width="29.28125" style="157" customWidth="1"/>
    <col min="8" max="8" width="24.00390625" style="157" bestFit="1" customWidth="1"/>
    <col min="9" max="9" width="18.421875" style="157" bestFit="1" customWidth="1"/>
    <col min="10" max="10" width="18.8515625" style="157" bestFit="1" customWidth="1"/>
    <col min="11" max="11" width="11.421875" style="157" customWidth="1"/>
    <col min="12" max="12" width="14.28125" style="157" bestFit="1" customWidth="1"/>
    <col min="13" max="16384" width="11.421875" style="157" customWidth="1"/>
  </cols>
  <sheetData>
    <row r="1" ht="19.5" hidden="1"/>
    <row r="2" ht="19.5" hidden="1"/>
    <row r="3" spans="1:10" ht="19.5">
      <c r="A3" s="379" t="s">
        <v>452</v>
      </c>
      <c r="B3" s="379" t="s">
        <v>453</v>
      </c>
      <c r="C3" s="379" t="s">
        <v>454</v>
      </c>
      <c r="D3" s="379" t="s">
        <v>2</v>
      </c>
      <c r="E3" s="379" t="s">
        <v>3</v>
      </c>
      <c r="F3" s="157" t="s">
        <v>663</v>
      </c>
      <c r="G3" s="157" t="s">
        <v>699</v>
      </c>
      <c r="H3" s="379" t="s">
        <v>664</v>
      </c>
      <c r="J3" s="158"/>
    </row>
    <row r="4" spans="1:3" ht="33" customHeight="1">
      <c r="A4" s="380" t="s">
        <v>4</v>
      </c>
      <c r="B4" s="381" t="s">
        <v>5</v>
      </c>
      <c r="C4" s="382"/>
    </row>
    <row r="5" spans="1:8" ht="30" customHeight="1">
      <c r="A5" s="156" t="s">
        <v>4</v>
      </c>
      <c r="B5" s="383" t="s">
        <v>347</v>
      </c>
      <c r="C5" s="384" t="s">
        <v>457</v>
      </c>
      <c r="D5" s="365">
        <v>6611</v>
      </c>
      <c r="E5" s="385" t="s">
        <v>6</v>
      </c>
      <c r="F5" s="386">
        <f>'prévision 2017'!I6</f>
        <v>674806914</v>
      </c>
      <c r="G5" s="386">
        <f>'prévision 2017'!H6</f>
        <v>655271508.99</v>
      </c>
      <c r="H5" s="386">
        <f>'prévision 2017'!G6</f>
        <v>640038648</v>
      </c>
    </row>
    <row r="6" spans="1:8" ht="30" customHeight="1">
      <c r="A6" s="387" t="s">
        <v>4</v>
      </c>
      <c r="B6" s="383" t="s">
        <v>347</v>
      </c>
      <c r="C6" s="384" t="s">
        <v>457</v>
      </c>
      <c r="D6" s="365">
        <v>6682</v>
      </c>
      <c r="E6" s="388" t="s">
        <v>266</v>
      </c>
      <c r="F6" s="386">
        <f>'prévision 2017'!I7</f>
        <v>0</v>
      </c>
      <c r="G6" s="386">
        <f>'prévision 2017'!H7</f>
        <v>0</v>
      </c>
      <c r="H6" s="386">
        <f>'prévision 2017'!G7</f>
        <v>0</v>
      </c>
    </row>
    <row r="7" spans="1:8" ht="30" customHeight="1">
      <c r="A7" s="387" t="s">
        <v>4</v>
      </c>
      <c r="B7" s="383" t="s">
        <v>347</v>
      </c>
      <c r="C7" s="384" t="s">
        <v>457</v>
      </c>
      <c r="D7" s="365">
        <v>60100</v>
      </c>
      <c r="E7" s="389" t="s">
        <v>7</v>
      </c>
      <c r="F7" s="386">
        <f>'prévision 2017'!I8</f>
        <v>8000000</v>
      </c>
      <c r="G7" s="386">
        <f>'prévision 2017'!H8</f>
        <v>8000000</v>
      </c>
      <c r="H7" s="386">
        <f>'prévision 2017'!G8</f>
        <v>8000000</v>
      </c>
    </row>
    <row r="8" spans="1:8" ht="30" customHeight="1">
      <c r="A8" s="156" t="s">
        <v>4</v>
      </c>
      <c r="B8" s="383" t="s">
        <v>347</v>
      </c>
      <c r="C8" s="384" t="s">
        <v>457</v>
      </c>
      <c r="D8" s="365">
        <v>60101</v>
      </c>
      <c r="E8" s="389" t="s">
        <v>255</v>
      </c>
      <c r="F8" s="386">
        <f>'prévision 2017'!I9</f>
        <v>6500000</v>
      </c>
      <c r="G8" s="386">
        <f>'prévision 2017'!H9</f>
        <v>6500000</v>
      </c>
      <c r="H8" s="386">
        <f>'prévision 2017'!G9</f>
        <v>6500000</v>
      </c>
    </row>
    <row r="9" spans="1:8" ht="30" customHeight="1">
      <c r="A9" s="387" t="s">
        <v>4</v>
      </c>
      <c r="B9" s="383" t="s">
        <v>347</v>
      </c>
      <c r="C9" s="384" t="s">
        <v>457</v>
      </c>
      <c r="D9" s="365">
        <v>6041</v>
      </c>
      <c r="E9" s="389" t="s">
        <v>8</v>
      </c>
      <c r="F9" s="386">
        <f>'prévision 2017'!I10</f>
        <v>96000000</v>
      </c>
      <c r="G9" s="386">
        <f>'prévision 2017'!H10</f>
        <v>96000000</v>
      </c>
      <c r="H9" s="386">
        <f>'prévision 2017'!G10</f>
        <v>96000000</v>
      </c>
    </row>
    <row r="10" spans="1:8" ht="30" customHeight="1">
      <c r="A10" s="156" t="s">
        <v>4</v>
      </c>
      <c r="B10" s="383" t="s">
        <v>347</v>
      </c>
      <c r="C10" s="384" t="s">
        <v>457</v>
      </c>
      <c r="D10" s="365">
        <v>6018</v>
      </c>
      <c r="E10" s="389" t="s">
        <v>215</v>
      </c>
      <c r="F10" s="386">
        <f>'prévision 2017'!I11</f>
        <v>0</v>
      </c>
      <c r="G10" s="386">
        <f>'prévision 2017'!H11</f>
        <v>0</v>
      </c>
      <c r="H10" s="386">
        <f>'prévision 2017'!G11</f>
        <v>0</v>
      </c>
    </row>
    <row r="11" spans="1:8" ht="30" customHeight="1">
      <c r="A11" s="156" t="s">
        <v>4</v>
      </c>
      <c r="B11" s="383" t="s">
        <v>347</v>
      </c>
      <c r="C11" s="384" t="s">
        <v>457</v>
      </c>
      <c r="D11" s="365">
        <v>6122</v>
      </c>
      <c r="E11" s="389" t="s">
        <v>582</v>
      </c>
      <c r="F11" s="386">
        <f>'prévision 2017'!I12</f>
        <v>15250000</v>
      </c>
      <c r="G11" s="386">
        <f>'prévision 2017'!H12</f>
        <v>15250000</v>
      </c>
      <c r="H11" s="386">
        <f>'prévision 2017'!G12</f>
        <v>15250000</v>
      </c>
    </row>
    <row r="12" spans="1:8" ht="30" customHeight="1">
      <c r="A12" s="387" t="s">
        <v>4</v>
      </c>
      <c r="B12" s="383" t="s">
        <v>347</v>
      </c>
      <c r="C12" s="384" t="s">
        <v>457</v>
      </c>
      <c r="D12" s="365">
        <v>6133</v>
      </c>
      <c r="E12" s="385" t="s">
        <v>9</v>
      </c>
      <c r="F12" s="386">
        <f>'prévision 2017'!I13</f>
        <v>12000000</v>
      </c>
      <c r="G12" s="386">
        <f>'prévision 2017'!H13</f>
        <v>12000000</v>
      </c>
      <c r="H12" s="386">
        <f>'prévision 2017'!G13</f>
        <v>12000000</v>
      </c>
    </row>
    <row r="13" spans="1:8" ht="30" customHeight="1">
      <c r="A13" s="156" t="s">
        <v>4</v>
      </c>
      <c r="B13" s="383" t="s">
        <v>347</v>
      </c>
      <c r="C13" s="384" t="s">
        <v>457</v>
      </c>
      <c r="D13" s="365">
        <v>6138</v>
      </c>
      <c r="E13" s="389" t="s">
        <v>177</v>
      </c>
      <c r="F13" s="386">
        <f>'prévision 2017'!I14</f>
        <v>0</v>
      </c>
      <c r="G13" s="386">
        <f>'prévision 2017'!H14</f>
        <v>0</v>
      </c>
      <c r="H13" s="386">
        <f>'prévision 2017'!G14</f>
        <v>0</v>
      </c>
    </row>
    <row r="14" spans="1:8" ht="30" customHeight="1">
      <c r="A14" s="156" t="s">
        <v>4</v>
      </c>
      <c r="B14" s="383" t="s">
        <v>347</v>
      </c>
      <c r="C14" s="384" t="s">
        <v>457</v>
      </c>
      <c r="D14" s="365">
        <v>6143</v>
      </c>
      <c r="E14" s="389" t="s">
        <v>287</v>
      </c>
      <c r="F14" s="386">
        <f>'prévision 2017'!I15</f>
        <v>0</v>
      </c>
      <c r="G14" s="386">
        <f>'prévision 2017'!H15</f>
        <v>0</v>
      </c>
      <c r="H14" s="386">
        <f>'prévision 2017'!G15</f>
        <v>0</v>
      </c>
    </row>
    <row r="15" spans="1:8" ht="30" customHeight="1">
      <c r="A15" s="387" t="s">
        <v>4</v>
      </c>
      <c r="B15" s="383" t="s">
        <v>347</v>
      </c>
      <c r="C15" s="384" t="s">
        <v>457</v>
      </c>
      <c r="D15" s="365">
        <v>6052</v>
      </c>
      <c r="E15" s="389" t="s">
        <v>598</v>
      </c>
      <c r="F15" s="386">
        <f>'prévision 2017'!I16</f>
        <v>0</v>
      </c>
      <c r="G15" s="386">
        <f>'prévision 2017'!H16</f>
        <v>0</v>
      </c>
      <c r="H15" s="386">
        <f>'prévision 2017'!G16</f>
        <v>0</v>
      </c>
    </row>
    <row r="16" spans="1:8" ht="30" customHeight="1">
      <c r="A16" s="156" t="s">
        <v>4</v>
      </c>
      <c r="B16" s="383" t="s">
        <v>347</v>
      </c>
      <c r="C16" s="384" t="s">
        <v>457</v>
      </c>
      <c r="D16" s="365">
        <v>6152</v>
      </c>
      <c r="E16" s="389" t="s">
        <v>256</v>
      </c>
      <c r="F16" s="386">
        <f>'prévision 2017'!I17</f>
        <v>7500000</v>
      </c>
      <c r="G16" s="386">
        <f>'prévision 2017'!H17</f>
        <v>7500000</v>
      </c>
      <c r="H16" s="386">
        <f>'prévision 2017'!G17</f>
        <v>7500000</v>
      </c>
    </row>
    <row r="17" spans="1:8" ht="30" customHeight="1">
      <c r="A17" s="156" t="s">
        <v>4</v>
      </c>
      <c r="B17" s="383" t="s">
        <v>347</v>
      </c>
      <c r="C17" s="384" t="s">
        <v>457</v>
      </c>
      <c r="D17" s="365">
        <v>6161</v>
      </c>
      <c r="E17" s="389" t="s">
        <v>257</v>
      </c>
      <c r="F17" s="386">
        <f>'prévision 2017'!I18</f>
        <v>100000000</v>
      </c>
      <c r="G17" s="386">
        <f>'prévision 2017'!H18</f>
        <v>100000000</v>
      </c>
      <c r="H17" s="386">
        <f>'prévision 2017'!G18</f>
        <v>100000000</v>
      </c>
    </row>
    <row r="18" spans="1:8" ht="30" customHeight="1">
      <c r="A18" s="387" t="s">
        <v>4</v>
      </c>
      <c r="B18" s="383" t="s">
        <v>347</v>
      </c>
      <c r="C18" s="384" t="s">
        <v>457</v>
      </c>
      <c r="D18" s="365">
        <v>6162</v>
      </c>
      <c r="E18" s="389" t="s">
        <v>552</v>
      </c>
      <c r="F18" s="386">
        <f>'prévision 2017'!I19</f>
        <v>0</v>
      </c>
      <c r="G18" s="386">
        <f>'prévision 2017'!H19</f>
        <v>0</v>
      </c>
      <c r="H18" s="386">
        <f>'prévision 2017'!G19</f>
        <v>0</v>
      </c>
    </row>
    <row r="19" spans="1:8" ht="30" customHeight="1">
      <c r="A19" s="156" t="s">
        <v>4</v>
      </c>
      <c r="B19" s="383" t="s">
        <v>347</v>
      </c>
      <c r="C19" s="384" t="s">
        <v>457</v>
      </c>
      <c r="D19" s="365">
        <v>6111</v>
      </c>
      <c r="E19" s="388" t="s">
        <v>11</v>
      </c>
      <c r="F19" s="386">
        <f>'prévision 2017'!I20</f>
        <v>144000000</v>
      </c>
      <c r="G19" s="386">
        <f>'prévision 2017'!H20</f>
        <v>144000000</v>
      </c>
      <c r="H19" s="386">
        <f>'prévision 2017'!G20</f>
        <v>144000000</v>
      </c>
    </row>
    <row r="20" spans="1:8" ht="30" customHeight="1">
      <c r="A20" s="156" t="s">
        <v>4</v>
      </c>
      <c r="B20" s="383" t="s">
        <v>347</v>
      </c>
      <c r="C20" s="384" t="s">
        <v>457</v>
      </c>
      <c r="D20" s="365">
        <v>6112</v>
      </c>
      <c r="E20" s="389" t="s">
        <v>12</v>
      </c>
      <c r="F20" s="386">
        <f>'prévision 2017'!I21</f>
        <v>15000000</v>
      </c>
      <c r="G20" s="386">
        <f>'prévision 2017'!H21</f>
        <v>15000000</v>
      </c>
      <c r="H20" s="386">
        <f>'prévision 2017'!G21</f>
        <v>15000000</v>
      </c>
    </row>
    <row r="21" spans="1:8" ht="30" customHeight="1">
      <c r="A21" s="387" t="s">
        <v>4</v>
      </c>
      <c r="B21" s="383" t="s">
        <v>347</v>
      </c>
      <c r="C21" s="384" t="s">
        <v>457</v>
      </c>
      <c r="D21" s="365">
        <v>6171</v>
      </c>
      <c r="E21" s="389" t="s">
        <v>233</v>
      </c>
      <c r="F21" s="386">
        <f>'prévision 2017'!I22</f>
        <v>0</v>
      </c>
      <c r="G21" s="386">
        <f>'prévision 2017'!H22</f>
        <v>0</v>
      </c>
      <c r="H21" s="386">
        <f>'prévision 2017'!G22</f>
        <v>0</v>
      </c>
    </row>
    <row r="22" spans="1:8" ht="30" customHeight="1">
      <c r="A22" s="156" t="s">
        <v>4</v>
      </c>
      <c r="B22" s="383" t="s">
        <v>347</v>
      </c>
      <c r="C22" s="384" t="s">
        <v>457</v>
      </c>
      <c r="D22" s="365">
        <v>6173</v>
      </c>
      <c r="E22" s="389" t="s">
        <v>584</v>
      </c>
      <c r="F22" s="386">
        <f>'prévision 2017'!I23</f>
        <v>0</v>
      </c>
      <c r="G22" s="386">
        <f>'prévision 2017'!H23</f>
        <v>0</v>
      </c>
      <c r="H22" s="386">
        <f>'prévision 2017'!G23</f>
        <v>0</v>
      </c>
    </row>
    <row r="23" spans="1:8" ht="30" customHeight="1">
      <c r="A23" s="387" t="s">
        <v>4</v>
      </c>
      <c r="B23" s="383" t="s">
        <v>347</v>
      </c>
      <c r="C23" s="384" t="s">
        <v>457</v>
      </c>
      <c r="D23" s="365">
        <v>6175</v>
      </c>
      <c r="E23" s="389" t="s">
        <v>13</v>
      </c>
      <c r="F23" s="386">
        <f>'prévision 2017'!I24</f>
        <v>10000000</v>
      </c>
      <c r="G23" s="386">
        <f>'prévision 2017'!H24</f>
        <v>10000000</v>
      </c>
      <c r="H23" s="386">
        <f>'prévision 2017'!G24</f>
        <v>10000000</v>
      </c>
    </row>
    <row r="24" spans="1:8" ht="30" customHeight="1">
      <c r="A24" s="156" t="s">
        <v>4</v>
      </c>
      <c r="B24" s="383" t="s">
        <v>347</v>
      </c>
      <c r="C24" s="384" t="s">
        <v>457</v>
      </c>
      <c r="D24" s="365">
        <v>6433</v>
      </c>
      <c r="E24" s="389" t="s">
        <v>14</v>
      </c>
      <c r="F24" s="386">
        <f>'prévision 2017'!I25</f>
        <v>39563000</v>
      </c>
      <c r="G24" s="386">
        <f>'prévision 2017'!H25</f>
        <v>20000000</v>
      </c>
      <c r="H24" s="386">
        <f>'prévision 2017'!G25</f>
        <v>20000000</v>
      </c>
    </row>
    <row r="25" spans="1:8" ht="30" customHeight="1">
      <c r="A25" s="387" t="s">
        <v>4</v>
      </c>
      <c r="B25" s="383" t="s">
        <v>347</v>
      </c>
      <c r="C25" s="384" t="s">
        <v>457</v>
      </c>
      <c r="D25" s="365">
        <v>6452</v>
      </c>
      <c r="E25" s="389" t="s">
        <v>268</v>
      </c>
      <c r="F25" s="386">
        <f>'prévision 2017'!I26</f>
        <v>12500000</v>
      </c>
      <c r="G25" s="386">
        <f>'prévision 2017'!H26</f>
        <v>12500000</v>
      </c>
      <c r="H25" s="386">
        <f>'prévision 2017'!G26</f>
        <v>12500000</v>
      </c>
    </row>
    <row r="26" spans="1:8" ht="30" customHeight="1">
      <c r="A26" s="156" t="s">
        <v>4</v>
      </c>
      <c r="B26" s="383" t="s">
        <v>347</v>
      </c>
      <c r="C26" s="384" t="s">
        <v>457</v>
      </c>
      <c r="D26" s="365">
        <v>2128</v>
      </c>
      <c r="E26" s="389" t="s">
        <v>300</v>
      </c>
      <c r="F26" s="386">
        <f>'prévision 2017'!I27</f>
        <v>67000000</v>
      </c>
      <c r="G26" s="386">
        <f>'prévision 2017'!H27</f>
        <v>67000000</v>
      </c>
      <c r="H26" s="386">
        <f>'prévision 2017'!G27</f>
        <v>67000000</v>
      </c>
    </row>
    <row r="27" spans="1:8" ht="19.5">
      <c r="A27" s="387" t="s">
        <v>4</v>
      </c>
      <c r="B27" s="383" t="s">
        <v>347</v>
      </c>
      <c r="C27" s="384" t="s">
        <v>457</v>
      </c>
      <c r="D27" s="365">
        <v>2164</v>
      </c>
      <c r="E27" s="390" t="s">
        <v>583</v>
      </c>
      <c r="F27" s="386">
        <f>'prévision 2017'!I28</f>
        <v>7000000</v>
      </c>
      <c r="G27" s="386">
        <f>'prévision 2017'!H28</f>
        <v>7000000</v>
      </c>
      <c r="H27" s="386">
        <f>'prévision 2017'!G28</f>
        <v>7000000</v>
      </c>
    </row>
    <row r="28" spans="1:8" ht="19.5">
      <c r="A28" s="156" t="s">
        <v>4</v>
      </c>
      <c r="B28" s="383" t="s">
        <v>347</v>
      </c>
      <c r="C28" s="384" t="s">
        <v>457</v>
      </c>
      <c r="D28" s="365">
        <v>2162</v>
      </c>
      <c r="E28" s="390" t="s">
        <v>553</v>
      </c>
      <c r="F28" s="386">
        <f>'prévision 2017'!I29</f>
        <v>0</v>
      </c>
      <c r="G28" s="386">
        <f>'prévision 2017'!H29</f>
        <v>0</v>
      </c>
      <c r="H28" s="386">
        <f>'prévision 2017'!G29</f>
        <v>0</v>
      </c>
    </row>
    <row r="29" spans="1:8" ht="19.5">
      <c r="A29" s="387" t="s">
        <v>4</v>
      </c>
      <c r="B29" s="383" t="s">
        <v>347</v>
      </c>
      <c r="C29" s="384" t="s">
        <v>457</v>
      </c>
      <c r="D29" s="365">
        <v>2171</v>
      </c>
      <c r="E29" s="390" t="s">
        <v>284</v>
      </c>
      <c r="F29" s="386">
        <f>'prévision 2017'!I30</f>
        <v>0</v>
      </c>
      <c r="G29" s="386">
        <f>'prévision 2017'!H30</f>
        <v>0</v>
      </c>
      <c r="H29" s="386">
        <f>'prévision 2017'!G30</f>
        <v>0</v>
      </c>
    </row>
    <row r="30" spans="1:8" ht="19.5">
      <c r="A30" s="156" t="s">
        <v>4</v>
      </c>
      <c r="B30" s="383" t="s">
        <v>347</v>
      </c>
      <c r="C30" s="384" t="s">
        <v>457</v>
      </c>
      <c r="D30" s="365">
        <v>2178</v>
      </c>
      <c r="E30" s="390" t="s">
        <v>585</v>
      </c>
      <c r="F30" s="386">
        <f>'prévision 2017'!I31</f>
        <v>0</v>
      </c>
      <c r="G30" s="386">
        <f>'prévision 2017'!H31</f>
        <v>0</v>
      </c>
      <c r="H30" s="386">
        <f>'prévision 2017'!G31</f>
        <v>0</v>
      </c>
    </row>
    <row r="31" spans="1:8" ht="19.5">
      <c r="A31" s="387" t="s">
        <v>4</v>
      </c>
      <c r="B31" s="383" t="s">
        <v>347</v>
      </c>
      <c r="C31" s="384" t="s">
        <v>457</v>
      </c>
      <c r="D31" s="365">
        <v>2161</v>
      </c>
      <c r="E31" s="390" t="s">
        <v>286</v>
      </c>
      <c r="F31" s="386">
        <f>'prévision 2017'!I32</f>
        <v>1000000</v>
      </c>
      <c r="G31" s="386">
        <f>'prévision 2017'!H32</f>
        <v>1000000</v>
      </c>
      <c r="H31" s="386">
        <f>'prévision 2017'!G32</f>
        <v>1000000</v>
      </c>
    </row>
    <row r="32" spans="1:8" ht="19.5">
      <c r="A32" s="156" t="s">
        <v>4</v>
      </c>
      <c r="B32" s="383" t="s">
        <v>347</v>
      </c>
      <c r="C32" s="391" t="s">
        <v>463</v>
      </c>
      <c r="D32" s="365"/>
      <c r="E32" s="392"/>
      <c r="F32" s="393">
        <f>SUM(F5:F31)</f>
        <v>1216119914</v>
      </c>
      <c r="G32" s="393">
        <f>SUM(G5:G31)</f>
        <v>1177021508.99</v>
      </c>
      <c r="H32" s="393">
        <f>SUM(H5:H31)</f>
        <v>1161788648</v>
      </c>
    </row>
    <row r="33" spans="1:8" ht="30" customHeight="1">
      <c r="A33" s="156" t="s">
        <v>4</v>
      </c>
      <c r="B33" s="394" t="s">
        <v>657</v>
      </c>
      <c r="C33" s="384"/>
      <c r="D33" s="395"/>
      <c r="E33" s="392"/>
      <c r="F33" s="393">
        <f>F32</f>
        <v>1216119914</v>
      </c>
      <c r="G33" s="393">
        <f>G32</f>
        <v>1177021508.99</v>
      </c>
      <c r="H33" s="393">
        <f>H32</f>
        <v>1161788648</v>
      </c>
    </row>
    <row r="34" spans="1:5" ht="30" customHeight="1">
      <c r="A34" s="156" t="s">
        <v>17</v>
      </c>
      <c r="B34" s="396" t="s">
        <v>18</v>
      </c>
      <c r="D34" s="395"/>
      <c r="E34" s="392"/>
    </row>
    <row r="35" spans="1:8" ht="30" customHeight="1">
      <c r="A35" s="156" t="s">
        <v>17</v>
      </c>
      <c r="B35" s="383" t="s">
        <v>348</v>
      </c>
      <c r="C35" s="384" t="s">
        <v>459</v>
      </c>
      <c r="D35" s="365">
        <v>6611</v>
      </c>
      <c r="E35" s="368" t="s">
        <v>6</v>
      </c>
      <c r="F35" s="397">
        <f>'prévision 2017'!I36</f>
        <v>207955188</v>
      </c>
      <c r="G35" s="397">
        <f>'prévision 2017'!H36</f>
        <v>168878921.3</v>
      </c>
      <c r="H35" s="397">
        <f>'prévision 2017'!G36</f>
        <v>207955188</v>
      </c>
    </row>
    <row r="36" spans="1:8" ht="30" customHeight="1">
      <c r="A36" s="156" t="s">
        <v>17</v>
      </c>
      <c r="B36" s="383" t="s">
        <v>348</v>
      </c>
      <c r="C36" s="384" t="s">
        <v>459</v>
      </c>
      <c r="D36" s="365">
        <v>60100</v>
      </c>
      <c r="E36" s="385" t="s">
        <v>7</v>
      </c>
      <c r="F36" s="397">
        <f>'prévision 2017'!I37</f>
        <v>5929733</v>
      </c>
      <c r="G36" s="397">
        <f>'prévision 2017'!H37</f>
        <v>5929733</v>
      </c>
      <c r="H36" s="397">
        <f>'prévision 2017'!G37</f>
        <v>5929733</v>
      </c>
    </row>
    <row r="37" spans="1:8" ht="30" customHeight="1">
      <c r="A37" s="156" t="s">
        <v>17</v>
      </c>
      <c r="B37" s="383" t="s">
        <v>348</v>
      </c>
      <c r="C37" s="384" t="s">
        <v>459</v>
      </c>
      <c r="D37" s="365">
        <v>60101</v>
      </c>
      <c r="E37" s="385" t="s">
        <v>255</v>
      </c>
      <c r="F37" s="397">
        <f>'prévision 2017'!I38</f>
        <v>4500000</v>
      </c>
      <c r="G37" s="397">
        <f>'prévision 2017'!H38</f>
        <v>4500000</v>
      </c>
      <c r="H37" s="397">
        <f>'prévision 2017'!G38</f>
        <v>4500000</v>
      </c>
    </row>
    <row r="38" spans="1:8" ht="30" customHeight="1">
      <c r="A38" s="156" t="s">
        <v>17</v>
      </c>
      <c r="B38" s="383" t="s">
        <v>348</v>
      </c>
      <c r="C38" s="384" t="s">
        <v>459</v>
      </c>
      <c r="D38" s="365">
        <v>6041</v>
      </c>
      <c r="E38" s="385" t="s">
        <v>8</v>
      </c>
      <c r="F38" s="397">
        <f>'prévision 2017'!I39</f>
        <v>0</v>
      </c>
      <c r="G38" s="397">
        <f>'prévision 2017'!H39</f>
        <v>0</v>
      </c>
      <c r="H38" s="397">
        <f>'prévision 2017'!G39</f>
        <v>0</v>
      </c>
    </row>
    <row r="39" spans="1:8" ht="30" customHeight="1">
      <c r="A39" s="156" t="s">
        <v>17</v>
      </c>
      <c r="B39" s="383" t="s">
        <v>348</v>
      </c>
      <c r="C39" s="384" t="s">
        <v>459</v>
      </c>
      <c r="D39" s="365">
        <v>6018</v>
      </c>
      <c r="E39" s="385" t="s">
        <v>215</v>
      </c>
      <c r="F39" s="397">
        <f>'prévision 2017'!I40</f>
        <v>0</v>
      </c>
      <c r="G39" s="397">
        <f>'prévision 2017'!H40</f>
        <v>0</v>
      </c>
      <c r="H39" s="397">
        <f>'prévision 2017'!G40</f>
        <v>0</v>
      </c>
    </row>
    <row r="40" spans="1:8" ht="30" customHeight="1">
      <c r="A40" s="156" t="s">
        <v>17</v>
      </c>
      <c r="B40" s="383" t="s">
        <v>348</v>
      </c>
      <c r="C40" s="384" t="s">
        <v>459</v>
      </c>
      <c r="D40" s="365">
        <v>6122</v>
      </c>
      <c r="E40" s="389" t="s">
        <v>582</v>
      </c>
      <c r="F40" s="397">
        <f>'prévision 2017'!I41</f>
        <v>5500000</v>
      </c>
      <c r="G40" s="397">
        <f>'prévision 2017'!H41</f>
        <v>5500000</v>
      </c>
      <c r="H40" s="397">
        <f>'prévision 2017'!G41</f>
        <v>5500000</v>
      </c>
    </row>
    <row r="41" spans="1:8" ht="30" customHeight="1">
      <c r="A41" s="156" t="s">
        <v>17</v>
      </c>
      <c r="B41" s="383" t="s">
        <v>348</v>
      </c>
      <c r="C41" s="384" t="s">
        <v>459</v>
      </c>
      <c r="D41" s="365">
        <v>6133</v>
      </c>
      <c r="E41" s="385" t="s">
        <v>9</v>
      </c>
      <c r="F41" s="397">
        <f>'prévision 2017'!I42</f>
        <v>6500000</v>
      </c>
      <c r="G41" s="397">
        <f>'prévision 2017'!H42</f>
        <v>6500000</v>
      </c>
      <c r="H41" s="397">
        <f>'prévision 2017'!G42</f>
        <v>6500000</v>
      </c>
    </row>
    <row r="42" spans="1:8" ht="30" customHeight="1">
      <c r="A42" s="156" t="s">
        <v>17</v>
      </c>
      <c r="B42" s="383" t="s">
        <v>348</v>
      </c>
      <c r="C42" s="384" t="s">
        <v>459</v>
      </c>
      <c r="D42" s="365">
        <v>6052</v>
      </c>
      <c r="E42" s="389" t="s">
        <v>10</v>
      </c>
      <c r="F42" s="397">
        <f>'prévision 2017'!I43</f>
        <v>0</v>
      </c>
      <c r="G42" s="397">
        <f>'prévision 2017'!H43</f>
        <v>0</v>
      </c>
      <c r="H42" s="397">
        <f>'prévision 2017'!G43</f>
        <v>0</v>
      </c>
    </row>
    <row r="43" spans="1:8" ht="30" customHeight="1">
      <c r="A43" s="156" t="s">
        <v>17</v>
      </c>
      <c r="B43" s="383" t="s">
        <v>348</v>
      </c>
      <c r="C43" s="384" t="s">
        <v>459</v>
      </c>
      <c r="D43" s="365">
        <v>6111</v>
      </c>
      <c r="E43" s="388" t="s">
        <v>11</v>
      </c>
      <c r="F43" s="397">
        <f>'prévision 2017'!I44</f>
        <v>0</v>
      </c>
      <c r="G43" s="397">
        <f>'prévision 2017'!H44</f>
        <v>0</v>
      </c>
      <c r="H43" s="397">
        <f>'prévision 2017'!G44</f>
        <v>0</v>
      </c>
    </row>
    <row r="44" spans="1:8" ht="30" customHeight="1">
      <c r="A44" s="156" t="s">
        <v>17</v>
      </c>
      <c r="B44" s="383" t="s">
        <v>348</v>
      </c>
      <c r="C44" s="384" t="s">
        <v>459</v>
      </c>
      <c r="D44" s="365">
        <v>6112</v>
      </c>
      <c r="E44" s="389" t="s">
        <v>12</v>
      </c>
      <c r="F44" s="397">
        <f>'prévision 2017'!I45</f>
        <v>7500000</v>
      </c>
      <c r="G44" s="397">
        <f>'prévision 2017'!H45</f>
        <v>7500000</v>
      </c>
      <c r="H44" s="397">
        <f>'prévision 2017'!G45</f>
        <v>7500000</v>
      </c>
    </row>
    <row r="45" spans="1:8" ht="30" customHeight="1">
      <c r="A45" s="156" t="s">
        <v>17</v>
      </c>
      <c r="B45" s="383" t="s">
        <v>348</v>
      </c>
      <c r="C45" s="384" t="s">
        <v>459</v>
      </c>
      <c r="D45" s="365">
        <v>6161</v>
      </c>
      <c r="E45" s="398" t="s">
        <v>257</v>
      </c>
      <c r="F45" s="397">
        <f>'prévision 2017'!I46</f>
        <v>24000000</v>
      </c>
      <c r="G45" s="397">
        <f>'prévision 2017'!H46</f>
        <v>24000000</v>
      </c>
      <c r="H45" s="397">
        <f>'prévision 2017'!G46</f>
        <v>24000000</v>
      </c>
    </row>
    <row r="46" spans="1:8" ht="30" customHeight="1">
      <c r="A46" s="156" t="s">
        <v>17</v>
      </c>
      <c r="B46" s="383" t="s">
        <v>348</v>
      </c>
      <c r="C46" s="384" t="s">
        <v>459</v>
      </c>
      <c r="D46" s="365">
        <v>6171</v>
      </c>
      <c r="E46" s="385" t="s">
        <v>214</v>
      </c>
      <c r="F46" s="397">
        <f>'prévision 2017'!I47</f>
        <v>0</v>
      </c>
      <c r="G46" s="397">
        <f>'prévision 2017'!H47</f>
        <v>0</v>
      </c>
      <c r="H46" s="397">
        <f>'prévision 2017'!G47</f>
        <v>0</v>
      </c>
    </row>
    <row r="47" spans="1:8" ht="30" customHeight="1">
      <c r="A47" s="156" t="s">
        <v>17</v>
      </c>
      <c r="B47" s="383" t="s">
        <v>348</v>
      </c>
      <c r="C47" s="384" t="s">
        <v>459</v>
      </c>
      <c r="D47" s="365">
        <v>6173</v>
      </c>
      <c r="E47" s="368" t="s">
        <v>19</v>
      </c>
      <c r="F47" s="397">
        <f>'prévision 2017'!I48</f>
        <v>0</v>
      </c>
      <c r="G47" s="397">
        <f>'prévision 2017'!H48</f>
        <v>18000000</v>
      </c>
      <c r="H47" s="397">
        <f>'prévision 2017'!G48</f>
        <v>0</v>
      </c>
    </row>
    <row r="48" spans="1:8" ht="30" customHeight="1">
      <c r="A48" s="156" t="s">
        <v>17</v>
      </c>
      <c r="B48" s="383" t="s">
        <v>348</v>
      </c>
      <c r="C48" s="384" t="s">
        <v>459</v>
      </c>
      <c r="D48" s="365">
        <v>6175</v>
      </c>
      <c r="E48" s="385" t="s">
        <v>13</v>
      </c>
      <c r="F48" s="397">
        <f>'prévision 2017'!I49</f>
        <v>1500000</v>
      </c>
      <c r="G48" s="397">
        <f>'prévision 2017'!H49</f>
        <v>1500000</v>
      </c>
      <c r="H48" s="397">
        <f>'prévision 2017'!G49</f>
        <v>1500000</v>
      </c>
    </row>
    <row r="49" spans="1:8" ht="30" customHeight="1">
      <c r="A49" s="156" t="s">
        <v>17</v>
      </c>
      <c r="B49" s="383" t="s">
        <v>348</v>
      </c>
      <c r="C49" s="384" t="s">
        <v>459</v>
      </c>
      <c r="D49" s="365">
        <v>6452</v>
      </c>
      <c r="E49" s="385" t="s">
        <v>15</v>
      </c>
      <c r="F49" s="397">
        <f>'prévision 2017'!I50</f>
        <v>0</v>
      </c>
      <c r="G49" s="397">
        <f>'prévision 2017'!H50</f>
        <v>0</v>
      </c>
      <c r="H49" s="397">
        <f>'prévision 2017'!G50</f>
        <v>0</v>
      </c>
    </row>
    <row r="50" spans="1:8" ht="30" customHeight="1">
      <c r="A50" s="156" t="s">
        <v>17</v>
      </c>
      <c r="B50" s="383" t="s">
        <v>348</v>
      </c>
      <c r="C50" s="384" t="s">
        <v>459</v>
      </c>
      <c r="D50" s="365">
        <v>2164</v>
      </c>
      <c r="E50" s="390" t="s">
        <v>583</v>
      </c>
      <c r="F50" s="397">
        <f>'prévision 2017'!I51</f>
        <v>0</v>
      </c>
      <c r="G50" s="397">
        <f>'prévision 2017'!H51</f>
        <v>0</v>
      </c>
      <c r="H50" s="397">
        <f>'prévision 2017'!G51</f>
        <v>0</v>
      </c>
    </row>
    <row r="51" spans="1:8" ht="30" customHeight="1">
      <c r="A51" s="156" t="s">
        <v>17</v>
      </c>
      <c r="B51" s="383" t="s">
        <v>348</v>
      </c>
      <c r="C51" s="384" t="s">
        <v>459</v>
      </c>
      <c r="D51" s="365">
        <v>2171</v>
      </c>
      <c r="E51" s="385" t="s">
        <v>284</v>
      </c>
      <c r="F51" s="397">
        <f>'prévision 2017'!I52</f>
        <v>0</v>
      </c>
      <c r="G51" s="397">
        <f>'prévision 2017'!H52</f>
        <v>0</v>
      </c>
      <c r="H51" s="397">
        <f>'prévision 2017'!G52</f>
        <v>0</v>
      </c>
    </row>
    <row r="52" spans="1:8" ht="30" customHeight="1">
      <c r="A52" s="156" t="s">
        <v>17</v>
      </c>
      <c r="B52" s="383" t="s">
        <v>348</v>
      </c>
      <c r="C52" s="399" t="s">
        <v>20</v>
      </c>
      <c r="E52" s="400"/>
      <c r="F52" s="397">
        <f>SUM(F35:F51)</f>
        <v>263384921</v>
      </c>
      <c r="G52" s="397">
        <f>SUM(G35:G51)</f>
        <v>242308654.3</v>
      </c>
      <c r="H52" s="397">
        <f>SUM(H35:H51)</f>
        <v>263384921</v>
      </c>
    </row>
    <row r="53" spans="1:3" ht="30" customHeight="1">
      <c r="A53" s="156" t="s">
        <v>17</v>
      </c>
      <c r="B53" s="383" t="s">
        <v>349</v>
      </c>
      <c r="C53" s="401" t="s">
        <v>460</v>
      </c>
    </row>
    <row r="54" spans="1:8" ht="30" customHeight="1">
      <c r="A54" s="156" t="s">
        <v>17</v>
      </c>
      <c r="B54" s="383" t="s">
        <v>349</v>
      </c>
      <c r="C54" s="384" t="s">
        <v>458</v>
      </c>
      <c r="D54" s="402">
        <v>6611</v>
      </c>
      <c r="E54" s="402" t="s">
        <v>6</v>
      </c>
      <c r="F54" s="386">
        <f>'prévision 2017'!I55</f>
        <v>0</v>
      </c>
      <c r="G54" s="386">
        <f>'prévision 2017'!H55</f>
        <v>0</v>
      </c>
      <c r="H54" s="158">
        <f>'prévision 2017'!G55</f>
        <v>0</v>
      </c>
    </row>
    <row r="55" spans="1:8" ht="30" customHeight="1">
      <c r="A55" s="156" t="s">
        <v>17</v>
      </c>
      <c r="B55" s="383" t="s">
        <v>349</v>
      </c>
      <c r="C55" s="384" t="s">
        <v>458</v>
      </c>
      <c r="D55" s="403">
        <v>6173</v>
      </c>
      <c r="E55" s="403" t="s">
        <v>19</v>
      </c>
      <c r="F55" s="386">
        <f>'prévision 2017'!I56</f>
        <v>0</v>
      </c>
      <c r="G55" s="386">
        <f>'prévision 2017'!H56</f>
        <v>0</v>
      </c>
      <c r="H55" s="158">
        <f>'prévision 2017'!G56</f>
        <v>0</v>
      </c>
    </row>
    <row r="56" spans="1:8" ht="30" customHeight="1">
      <c r="A56" s="160" t="s">
        <v>17</v>
      </c>
      <c r="B56" s="383" t="s">
        <v>349</v>
      </c>
      <c r="C56" s="396" t="s">
        <v>20</v>
      </c>
      <c r="F56" s="386">
        <f>SUM(F54:F55)</f>
        <v>0</v>
      </c>
      <c r="G56" s="386">
        <f>SUM(G54:G55)</f>
        <v>0</v>
      </c>
      <c r="H56" s="379">
        <f>SUM(H54:H55)</f>
        <v>0</v>
      </c>
    </row>
    <row r="57" spans="1:8" ht="30" customHeight="1">
      <c r="A57" s="160" t="s">
        <v>17</v>
      </c>
      <c r="B57" s="394" t="s">
        <v>657</v>
      </c>
      <c r="C57" s="404"/>
      <c r="F57" s="520">
        <f>F56+F52</f>
        <v>263384921</v>
      </c>
      <c r="G57" s="520">
        <f>G56+G52</f>
        <v>242308654.3</v>
      </c>
      <c r="H57" s="393">
        <f>H56+H52</f>
        <v>263384921</v>
      </c>
    </row>
    <row r="58" spans="1:7" ht="30" customHeight="1">
      <c r="A58" s="160" t="s">
        <v>22</v>
      </c>
      <c r="B58" s="401" t="s">
        <v>461</v>
      </c>
      <c r="C58" s="156"/>
      <c r="F58" s="386"/>
      <c r="G58" s="596"/>
    </row>
    <row r="59" spans="1:8" ht="30" customHeight="1">
      <c r="A59" s="156" t="s">
        <v>22</v>
      </c>
      <c r="B59" s="383" t="s">
        <v>350</v>
      </c>
      <c r="C59" s="384" t="s">
        <v>457</v>
      </c>
      <c r="D59" s="365">
        <v>6611</v>
      </c>
      <c r="E59" s="366" t="s">
        <v>6</v>
      </c>
      <c r="F59" s="386">
        <f>'prévision 2017'!I61</f>
        <v>121695600</v>
      </c>
      <c r="G59" s="386">
        <f>'prévision 2017'!H61</f>
        <v>136875032.55</v>
      </c>
      <c r="H59" s="397">
        <f>'prévision 2017'!G61</f>
        <v>121695600</v>
      </c>
    </row>
    <row r="60" spans="1:8" ht="30" customHeight="1">
      <c r="A60" s="156" t="s">
        <v>22</v>
      </c>
      <c r="B60" s="383" t="s">
        <v>350</v>
      </c>
      <c r="C60" s="384" t="s">
        <v>457</v>
      </c>
      <c r="D60" s="365">
        <v>60100</v>
      </c>
      <c r="E60" s="366" t="s">
        <v>47</v>
      </c>
      <c r="F60" s="386">
        <f>'prévision 2017'!I62</f>
        <v>1800000</v>
      </c>
      <c r="G60" s="386">
        <f>'prévision 2017'!H62</f>
        <v>1350000</v>
      </c>
      <c r="H60" s="397">
        <f>'prévision 2017'!G62</f>
        <v>1800000</v>
      </c>
    </row>
    <row r="61" spans="1:8" ht="30" customHeight="1">
      <c r="A61" s="156" t="s">
        <v>22</v>
      </c>
      <c r="B61" s="383" t="s">
        <v>350</v>
      </c>
      <c r="C61" s="384" t="s">
        <v>457</v>
      </c>
      <c r="D61" s="365">
        <v>60101</v>
      </c>
      <c r="E61" s="366" t="s">
        <v>297</v>
      </c>
      <c r="F61" s="386">
        <f>'prévision 2017'!I63</f>
        <v>800000</v>
      </c>
      <c r="G61" s="386">
        <f>'prévision 2017'!H63</f>
        <v>600000</v>
      </c>
      <c r="H61" s="397">
        <f>'prévision 2017'!G63</f>
        <v>800000</v>
      </c>
    </row>
    <row r="62" spans="1:8" ht="30" customHeight="1">
      <c r="A62" s="156" t="s">
        <v>22</v>
      </c>
      <c r="B62" s="383" t="s">
        <v>350</v>
      </c>
      <c r="C62" s="384" t="s">
        <v>457</v>
      </c>
      <c r="D62" s="365">
        <v>6041</v>
      </c>
      <c r="E62" s="366" t="s">
        <v>8</v>
      </c>
      <c r="F62" s="386">
        <f>'prévision 2017'!I64</f>
        <v>22596000</v>
      </c>
      <c r="G62" s="386">
        <f>'prévision 2017'!H64</f>
        <v>16947000</v>
      </c>
      <c r="H62" s="397">
        <f>'prévision 2017'!G64</f>
        <v>22596000</v>
      </c>
    </row>
    <row r="63" spans="1:8" ht="30" customHeight="1">
      <c r="A63" s="156" t="s">
        <v>22</v>
      </c>
      <c r="B63" s="383" t="s">
        <v>350</v>
      </c>
      <c r="C63" s="384" t="s">
        <v>457</v>
      </c>
      <c r="D63" s="365">
        <v>6018</v>
      </c>
      <c r="E63" s="366" t="s">
        <v>215</v>
      </c>
      <c r="F63" s="386">
        <f>'prévision 2017'!I65</f>
        <v>0</v>
      </c>
      <c r="G63" s="386">
        <f>'prévision 2017'!H65</f>
        <v>0</v>
      </c>
      <c r="H63" s="397">
        <f>'prévision 2017'!G65</f>
        <v>0</v>
      </c>
    </row>
    <row r="64" spans="1:8" ht="30" customHeight="1">
      <c r="A64" s="156" t="s">
        <v>22</v>
      </c>
      <c r="B64" s="383" t="s">
        <v>350</v>
      </c>
      <c r="C64" s="384" t="s">
        <v>457</v>
      </c>
      <c r="D64" s="365">
        <v>6122</v>
      </c>
      <c r="E64" s="389" t="s">
        <v>582</v>
      </c>
      <c r="F64" s="386">
        <f>'prévision 2017'!I66</f>
        <v>1000000</v>
      </c>
      <c r="G64" s="386">
        <f>'prévision 2017'!H66</f>
        <v>500000</v>
      </c>
      <c r="H64" s="397">
        <f>'prévision 2017'!G66</f>
        <v>1000000</v>
      </c>
    </row>
    <row r="65" spans="1:8" ht="30" customHeight="1">
      <c r="A65" s="156" t="s">
        <v>22</v>
      </c>
      <c r="B65" s="383" t="s">
        <v>350</v>
      </c>
      <c r="C65" s="384" t="s">
        <v>457</v>
      </c>
      <c r="D65" s="365">
        <v>6131</v>
      </c>
      <c r="E65" s="366" t="s">
        <v>562</v>
      </c>
      <c r="F65" s="386">
        <f>'prévision 2017'!I67</f>
        <v>0</v>
      </c>
      <c r="G65" s="386">
        <f>'prévision 2017'!H67</f>
        <v>0</v>
      </c>
      <c r="H65" s="397">
        <f>'prévision 2017'!G67</f>
        <v>0</v>
      </c>
    </row>
    <row r="66" spans="1:8" ht="30" customHeight="1">
      <c r="A66" s="156" t="s">
        <v>22</v>
      </c>
      <c r="B66" s="383" t="s">
        <v>350</v>
      </c>
      <c r="C66" s="384" t="s">
        <v>457</v>
      </c>
      <c r="D66" s="365">
        <v>6052</v>
      </c>
      <c r="E66" s="389" t="s">
        <v>598</v>
      </c>
      <c r="F66" s="386">
        <f>'prévision 2017'!I68</f>
        <v>600000</v>
      </c>
      <c r="G66" s="386">
        <f>'prévision 2017'!H68</f>
        <v>300000</v>
      </c>
      <c r="H66" s="397">
        <f>'prévision 2017'!G68</f>
        <v>600000</v>
      </c>
    </row>
    <row r="67" spans="1:8" ht="30" customHeight="1">
      <c r="A67" s="156" t="s">
        <v>22</v>
      </c>
      <c r="B67" s="383" t="s">
        <v>350</v>
      </c>
      <c r="C67" s="384" t="s">
        <v>457</v>
      </c>
      <c r="D67" s="365">
        <v>6161</v>
      </c>
      <c r="E67" s="366" t="s">
        <v>257</v>
      </c>
      <c r="F67" s="386">
        <f>'prévision 2017'!I69</f>
        <v>1000000</v>
      </c>
      <c r="G67" s="386">
        <f>'prévision 2017'!H69</f>
        <v>750000</v>
      </c>
      <c r="H67" s="397">
        <f>'prévision 2017'!G69</f>
        <v>1000000</v>
      </c>
    </row>
    <row r="68" spans="1:8" ht="30" customHeight="1">
      <c r="A68" s="156" t="s">
        <v>22</v>
      </c>
      <c r="B68" s="383" t="s">
        <v>350</v>
      </c>
      <c r="C68" s="384" t="s">
        <v>457</v>
      </c>
      <c r="D68" s="365">
        <v>6162</v>
      </c>
      <c r="E68" s="366" t="s">
        <v>552</v>
      </c>
      <c r="F68" s="386">
        <f>'prévision 2017'!I70</f>
        <v>0</v>
      </c>
      <c r="G68" s="386">
        <f>'prévision 2017'!H70</f>
        <v>0</v>
      </c>
      <c r="H68" s="397">
        <f>'prévision 2017'!G70</f>
        <v>0</v>
      </c>
    </row>
    <row r="69" spans="1:8" ht="30" customHeight="1">
      <c r="A69" s="156" t="s">
        <v>22</v>
      </c>
      <c r="B69" s="383" t="s">
        <v>350</v>
      </c>
      <c r="C69" s="384" t="s">
        <v>457</v>
      </c>
      <c r="D69" s="365">
        <v>6172</v>
      </c>
      <c r="E69" s="366" t="s">
        <v>157</v>
      </c>
      <c r="F69" s="386">
        <f>'prévision 2017'!I71</f>
        <v>0</v>
      </c>
      <c r="G69" s="386">
        <f>'prévision 2017'!H71</f>
        <v>0</v>
      </c>
      <c r="H69" s="397">
        <f>'prévision 2017'!G71</f>
        <v>0</v>
      </c>
    </row>
    <row r="70" spans="1:8" ht="30" customHeight="1">
      <c r="A70" s="156" t="s">
        <v>22</v>
      </c>
      <c r="B70" s="383" t="s">
        <v>350</v>
      </c>
      <c r="C70" s="384" t="s">
        <v>457</v>
      </c>
      <c r="D70" s="365">
        <v>6173</v>
      </c>
      <c r="E70" s="366" t="s">
        <v>564</v>
      </c>
      <c r="F70" s="386">
        <f>'prévision 2017'!I72</f>
        <v>0</v>
      </c>
      <c r="G70" s="386">
        <f>'prévision 2017'!H72</f>
        <v>0</v>
      </c>
      <c r="H70" s="397">
        <f>'prévision 2017'!G72</f>
        <v>0</v>
      </c>
    </row>
    <row r="71" spans="1:8" ht="30" customHeight="1">
      <c r="A71" s="156" t="s">
        <v>22</v>
      </c>
      <c r="B71" s="383" t="s">
        <v>350</v>
      </c>
      <c r="C71" s="384" t="s">
        <v>457</v>
      </c>
      <c r="D71" s="365">
        <v>6174</v>
      </c>
      <c r="E71" s="366" t="s">
        <v>563</v>
      </c>
      <c r="F71" s="386">
        <f>'prévision 2017'!I73</f>
        <v>1250000</v>
      </c>
      <c r="G71" s="386">
        <f>'prévision 2017'!H73</f>
        <v>937500</v>
      </c>
      <c r="H71" s="397">
        <f>'prévision 2017'!G73</f>
        <v>1250000</v>
      </c>
    </row>
    <row r="72" spans="1:8" ht="30" customHeight="1">
      <c r="A72" s="156" t="s">
        <v>22</v>
      </c>
      <c r="B72" s="405" t="s">
        <v>350</v>
      </c>
      <c r="C72" s="399" t="s">
        <v>20</v>
      </c>
      <c r="F72" s="520">
        <f>SUM(F59:F71)</f>
        <v>150741600</v>
      </c>
      <c r="G72" s="520">
        <f>SUM(G59:G71)</f>
        <v>158259532.55</v>
      </c>
      <c r="H72" s="393">
        <f>SUM(H59:H71)</f>
        <v>150741600</v>
      </c>
    </row>
    <row r="73" spans="1:8" ht="30" customHeight="1">
      <c r="A73" s="156" t="s">
        <v>22</v>
      </c>
      <c r="B73" s="394" t="s">
        <v>657</v>
      </c>
      <c r="C73" s="156"/>
      <c r="F73" s="520">
        <f>SUM(F72)</f>
        <v>150741600</v>
      </c>
      <c r="G73" s="520">
        <f>SUM(G72)</f>
        <v>158259532.55</v>
      </c>
      <c r="H73" s="393">
        <f>SUM(H72)</f>
        <v>150741600</v>
      </c>
    </row>
    <row r="74" spans="1:7" ht="30" customHeight="1">
      <c r="A74" s="160" t="s">
        <v>24</v>
      </c>
      <c r="B74" s="401" t="s">
        <v>462</v>
      </c>
      <c r="C74" s="156"/>
      <c r="F74" s="386"/>
      <c r="G74" s="596"/>
    </row>
    <row r="75" spans="1:7" ht="30" customHeight="1">
      <c r="A75" s="156" t="s">
        <v>24</v>
      </c>
      <c r="B75" s="383" t="s">
        <v>351</v>
      </c>
      <c r="C75" s="406" t="s">
        <v>26</v>
      </c>
      <c r="F75" s="386"/>
      <c r="G75" s="596"/>
    </row>
    <row r="76" spans="1:8" ht="30" customHeight="1">
      <c r="A76" s="156" t="s">
        <v>24</v>
      </c>
      <c r="B76" s="383" t="s">
        <v>351</v>
      </c>
      <c r="C76" s="384" t="s">
        <v>457</v>
      </c>
      <c r="D76" s="365">
        <v>6611</v>
      </c>
      <c r="E76" s="365" t="s">
        <v>6</v>
      </c>
      <c r="F76" s="386">
        <f>'prévision 2017'!I78</f>
        <v>143200000</v>
      </c>
      <c r="G76" s="386">
        <f>'prévision 2017'!H78</f>
        <v>171917400.73000002</v>
      </c>
      <c r="H76" s="397">
        <f>'prévision 2017'!G78</f>
        <v>130000000</v>
      </c>
    </row>
    <row r="77" spans="1:8" ht="30" customHeight="1">
      <c r="A77" s="156" t="s">
        <v>24</v>
      </c>
      <c r="B77" s="383" t="s">
        <v>351</v>
      </c>
      <c r="C77" s="384" t="s">
        <v>457</v>
      </c>
      <c r="D77" s="365">
        <v>6173</v>
      </c>
      <c r="E77" s="365" t="s">
        <v>16</v>
      </c>
      <c r="F77" s="386">
        <f>'prévision 2017'!I79</f>
        <v>120000000</v>
      </c>
      <c r="G77" s="386">
        <f>'prévision 2017'!H79</f>
        <v>120000000</v>
      </c>
      <c r="H77" s="397">
        <f>'prévision 2017'!G79</f>
        <v>100000000</v>
      </c>
    </row>
    <row r="78" spans="1:8" ht="30" customHeight="1">
      <c r="A78" s="156" t="s">
        <v>24</v>
      </c>
      <c r="B78" s="383" t="s">
        <v>351</v>
      </c>
      <c r="C78" s="384" t="s">
        <v>457</v>
      </c>
      <c r="D78" s="365">
        <v>6174</v>
      </c>
      <c r="E78" s="365" t="s">
        <v>27</v>
      </c>
      <c r="F78" s="386">
        <f>'prévision 2017'!I80</f>
        <v>120000000</v>
      </c>
      <c r="G78" s="386">
        <f>'prévision 2017'!H80</f>
        <v>120000000</v>
      </c>
      <c r="H78" s="397">
        <f>'prévision 2017'!G80</f>
        <v>110000000</v>
      </c>
    </row>
    <row r="79" spans="1:8" ht="30" customHeight="1">
      <c r="A79" s="156" t="s">
        <v>24</v>
      </c>
      <c r="B79" s="405" t="s">
        <v>351</v>
      </c>
      <c r="C79" s="384" t="s">
        <v>457</v>
      </c>
      <c r="D79" s="407" t="s">
        <v>463</v>
      </c>
      <c r="F79" s="520">
        <f>SUM(F76:F78)</f>
        <v>383200000</v>
      </c>
      <c r="G79" s="520">
        <f>SUM(G76:G78)</f>
        <v>411917400.73</v>
      </c>
      <c r="H79" s="166">
        <f>SUM(H76:H78)</f>
        <v>340000000</v>
      </c>
    </row>
    <row r="80" spans="1:7" ht="30" customHeight="1">
      <c r="A80" s="160" t="s">
        <v>24</v>
      </c>
      <c r="B80" s="405" t="s">
        <v>352</v>
      </c>
      <c r="C80" s="160" t="s">
        <v>28</v>
      </c>
      <c r="D80" s="379"/>
      <c r="F80" s="386"/>
      <c r="G80" s="596"/>
    </row>
    <row r="81" spans="1:8" ht="30" customHeight="1">
      <c r="A81" s="156" t="s">
        <v>24</v>
      </c>
      <c r="B81" s="408" t="s">
        <v>352</v>
      </c>
      <c r="C81" s="384" t="s">
        <v>457</v>
      </c>
      <c r="D81" s="365">
        <v>6611</v>
      </c>
      <c r="E81" s="368" t="s">
        <v>6</v>
      </c>
      <c r="F81" s="386">
        <f>'prévision 2017'!I83</f>
        <v>556985444</v>
      </c>
      <c r="G81" s="386">
        <f>'prévision 2017'!H83</f>
        <v>419446757.78999996</v>
      </c>
      <c r="H81" s="397">
        <f>'prévision 2017'!G83</f>
        <v>556985444</v>
      </c>
    </row>
    <row r="82" spans="1:10" ht="30" customHeight="1">
      <c r="A82" s="156" t="s">
        <v>24</v>
      </c>
      <c r="B82" s="383" t="s">
        <v>352</v>
      </c>
      <c r="C82" s="384" t="s">
        <v>457</v>
      </c>
      <c r="D82" s="365">
        <v>60100</v>
      </c>
      <c r="E82" s="368" t="s">
        <v>7</v>
      </c>
      <c r="F82" s="386">
        <f>'prévision 2017'!I84</f>
        <v>8382253</v>
      </c>
      <c r="G82" s="386">
        <f>'prévision 2017'!H84</f>
        <v>8382252</v>
      </c>
      <c r="H82" s="397">
        <f>'prévision 2017'!G84</f>
        <v>8382253</v>
      </c>
      <c r="J82" s="158"/>
    </row>
    <row r="83" spans="1:8" ht="30" customHeight="1">
      <c r="A83" s="156" t="s">
        <v>24</v>
      </c>
      <c r="B83" s="408" t="s">
        <v>352</v>
      </c>
      <c r="C83" s="384" t="s">
        <v>457</v>
      </c>
      <c r="D83" s="365">
        <v>6041</v>
      </c>
      <c r="E83" s="366" t="s">
        <v>68</v>
      </c>
      <c r="F83" s="386">
        <f>'prévision 2017'!I85</f>
        <v>0</v>
      </c>
      <c r="G83" s="386">
        <f>'prévision 2017'!H85</f>
        <v>0</v>
      </c>
      <c r="H83" s="397">
        <f>'prévision 2017'!G85</f>
        <v>0</v>
      </c>
    </row>
    <row r="84" spans="1:8" ht="30" customHeight="1">
      <c r="A84" s="156" t="s">
        <v>24</v>
      </c>
      <c r="B84" s="383" t="s">
        <v>352</v>
      </c>
      <c r="C84" s="384" t="s">
        <v>457</v>
      </c>
      <c r="D84" s="365">
        <v>6122</v>
      </c>
      <c r="E84" s="389" t="s">
        <v>582</v>
      </c>
      <c r="F84" s="386">
        <f>'prévision 2017'!I86</f>
        <v>6000000</v>
      </c>
      <c r="G84" s="386">
        <f>'prévision 2017'!H86</f>
        <v>6000000</v>
      </c>
      <c r="H84" s="397">
        <f>'prévision 2017'!G86</f>
        <v>6000000</v>
      </c>
    </row>
    <row r="85" spans="1:8" ht="30" customHeight="1">
      <c r="A85" s="156" t="s">
        <v>24</v>
      </c>
      <c r="B85" s="408" t="s">
        <v>352</v>
      </c>
      <c r="C85" s="384" t="s">
        <v>457</v>
      </c>
      <c r="D85" s="365">
        <v>6112</v>
      </c>
      <c r="E85" s="368" t="s">
        <v>12</v>
      </c>
      <c r="F85" s="386">
        <f>'prévision 2017'!I87</f>
        <v>20000000</v>
      </c>
      <c r="G85" s="386">
        <f>'prévision 2017'!H87</f>
        <v>20000000</v>
      </c>
      <c r="H85" s="397">
        <f>'prévision 2017'!G87</f>
        <v>20000000</v>
      </c>
    </row>
    <row r="86" spans="1:8" ht="30" customHeight="1">
      <c r="A86" s="156" t="s">
        <v>24</v>
      </c>
      <c r="B86" s="383" t="s">
        <v>352</v>
      </c>
      <c r="C86" s="384" t="s">
        <v>457</v>
      </c>
      <c r="D86" s="365">
        <v>6173</v>
      </c>
      <c r="E86" s="368" t="s">
        <v>19</v>
      </c>
      <c r="F86" s="386">
        <f>'prévision 2017'!I88</f>
        <v>41000000</v>
      </c>
      <c r="G86" s="386">
        <f>'prévision 2017'!H88</f>
        <v>41000000</v>
      </c>
      <c r="H86" s="397">
        <f>'prévision 2017'!G88</f>
        <v>41000000</v>
      </c>
    </row>
    <row r="87" spans="1:8" ht="30" customHeight="1">
      <c r="A87" s="156" t="s">
        <v>24</v>
      </c>
      <c r="B87" s="383" t="s">
        <v>352</v>
      </c>
      <c r="C87" s="384" t="s">
        <v>457</v>
      </c>
      <c r="D87" s="365">
        <v>6175</v>
      </c>
      <c r="E87" s="368" t="s">
        <v>13</v>
      </c>
      <c r="F87" s="386">
        <f>'prévision 2017'!I89</f>
        <v>59510263</v>
      </c>
      <c r="G87" s="386">
        <f>'prévision 2017'!H89</f>
        <v>59510263</v>
      </c>
      <c r="H87" s="397">
        <f>'prévision 2017'!G89</f>
        <v>59510263</v>
      </c>
    </row>
    <row r="88" spans="1:8" ht="30" customHeight="1">
      <c r="A88" s="156" t="s">
        <v>24</v>
      </c>
      <c r="B88" s="405" t="s">
        <v>352</v>
      </c>
      <c r="C88" s="384" t="s">
        <v>457</v>
      </c>
      <c r="D88" s="381" t="s">
        <v>463</v>
      </c>
      <c r="F88" s="520">
        <f>SUM(F81:F87)</f>
        <v>691877960</v>
      </c>
      <c r="G88" s="520">
        <f>SUM(G81:G87)</f>
        <v>554339272.79</v>
      </c>
      <c r="H88" s="409">
        <f>SUM(H81:H87)</f>
        <v>691877960</v>
      </c>
    </row>
    <row r="89" spans="1:7" ht="30" customHeight="1">
      <c r="A89" s="160" t="s">
        <v>24</v>
      </c>
      <c r="B89" s="405" t="s">
        <v>353</v>
      </c>
      <c r="C89" s="410" t="s">
        <v>29</v>
      </c>
      <c r="F89" s="386"/>
      <c r="G89" s="596"/>
    </row>
    <row r="90" spans="1:8" ht="30" customHeight="1">
      <c r="A90" s="156" t="s">
        <v>24</v>
      </c>
      <c r="B90" s="405" t="s">
        <v>353</v>
      </c>
      <c r="C90" s="384" t="s">
        <v>457</v>
      </c>
      <c r="D90" s="365">
        <v>6611</v>
      </c>
      <c r="E90" s="368" t="s">
        <v>6</v>
      </c>
      <c r="F90" s="386">
        <f>'prévision 2017'!I92</f>
        <v>257367800</v>
      </c>
      <c r="G90" s="386">
        <f>'prévision 2017'!H92</f>
        <v>153609733.02</v>
      </c>
      <c r="H90" s="397">
        <f>'prévision 2017'!G92</f>
        <v>257367800</v>
      </c>
    </row>
    <row r="91" spans="1:8" ht="30" customHeight="1">
      <c r="A91" s="156" t="s">
        <v>24</v>
      </c>
      <c r="B91" s="411" t="s">
        <v>353</v>
      </c>
      <c r="C91" s="384" t="s">
        <v>457</v>
      </c>
      <c r="D91" s="365">
        <v>60100</v>
      </c>
      <c r="E91" s="368" t="s">
        <v>7</v>
      </c>
      <c r="F91" s="386">
        <f>'prévision 2017'!I93</f>
        <v>3000000</v>
      </c>
      <c r="G91" s="386">
        <f>'prévision 2017'!H93</f>
        <v>2974000</v>
      </c>
      <c r="H91" s="397">
        <f>'prévision 2017'!G93</f>
        <v>3000000</v>
      </c>
    </row>
    <row r="92" spans="1:8" ht="30" customHeight="1">
      <c r="A92" s="156" t="s">
        <v>24</v>
      </c>
      <c r="B92" s="411" t="s">
        <v>353</v>
      </c>
      <c r="C92" s="384" t="s">
        <v>457</v>
      </c>
      <c r="D92" s="365">
        <v>6122</v>
      </c>
      <c r="E92" s="389" t="s">
        <v>582</v>
      </c>
      <c r="F92" s="386">
        <f>'prévision 2017'!I94</f>
        <v>2000000</v>
      </c>
      <c r="G92" s="386">
        <f>'prévision 2017'!H94</f>
        <v>1328525</v>
      </c>
      <c r="H92" s="397">
        <f>'prévision 2017'!G94</f>
        <v>2000000</v>
      </c>
    </row>
    <row r="93" spans="1:8" ht="30" customHeight="1">
      <c r="A93" s="156" t="s">
        <v>24</v>
      </c>
      <c r="B93" s="411" t="s">
        <v>353</v>
      </c>
      <c r="C93" s="384" t="s">
        <v>457</v>
      </c>
      <c r="D93" s="365">
        <v>6133</v>
      </c>
      <c r="E93" s="368" t="s">
        <v>9</v>
      </c>
      <c r="F93" s="386">
        <f>'prévision 2017'!I95</f>
        <v>22900000</v>
      </c>
      <c r="G93" s="386">
        <f>'prévision 2017'!H95</f>
        <v>22900000</v>
      </c>
      <c r="H93" s="397">
        <f>'prévision 2017'!G95</f>
        <v>22900000</v>
      </c>
    </row>
    <row r="94" spans="1:8" ht="30" customHeight="1">
      <c r="A94" s="156" t="s">
        <v>24</v>
      </c>
      <c r="B94" s="411" t="s">
        <v>353</v>
      </c>
      <c r="C94" s="384" t="s">
        <v>457</v>
      </c>
      <c r="D94" s="365">
        <v>6171</v>
      </c>
      <c r="E94" s="368" t="s">
        <v>214</v>
      </c>
      <c r="F94" s="386">
        <f>'prévision 2017'!I96</f>
        <v>20000000</v>
      </c>
      <c r="G94" s="386">
        <f>'prévision 2017'!H96</f>
        <v>20000000</v>
      </c>
      <c r="H94" s="397">
        <f>'prévision 2017'!G96</f>
        <v>20000000</v>
      </c>
    </row>
    <row r="95" spans="1:8" ht="30" customHeight="1">
      <c r="A95" s="156" t="s">
        <v>24</v>
      </c>
      <c r="B95" s="411" t="s">
        <v>353</v>
      </c>
      <c r="C95" s="384" t="s">
        <v>457</v>
      </c>
      <c r="D95" s="365">
        <v>6173</v>
      </c>
      <c r="E95" s="368" t="s">
        <v>19</v>
      </c>
      <c r="F95" s="386">
        <f>'prévision 2017'!I97</f>
        <v>162000000</v>
      </c>
      <c r="G95" s="386">
        <f>'prévision 2017'!H97</f>
        <v>162000000</v>
      </c>
      <c r="H95" s="397">
        <f>'prévision 2017'!G97</f>
        <v>162000000</v>
      </c>
    </row>
    <row r="96" spans="1:8" ht="30" customHeight="1">
      <c r="A96" s="156" t="s">
        <v>24</v>
      </c>
      <c r="B96" s="411" t="s">
        <v>353</v>
      </c>
      <c r="C96" s="384" t="s">
        <v>457</v>
      </c>
      <c r="D96" s="365">
        <v>6175</v>
      </c>
      <c r="E96" s="368" t="s">
        <v>13</v>
      </c>
      <c r="F96" s="386">
        <f>'prévision 2017'!I98</f>
        <v>1000000</v>
      </c>
      <c r="G96" s="386">
        <f>'prévision 2017'!H98</f>
        <v>1000000</v>
      </c>
      <c r="H96" s="397">
        <f>'prévision 2017'!G98</f>
        <v>1000000</v>
      </c>
    </row>
    <row r="97" spans="1:8" ht="30" customHeight="1">
      <c r="A97" s="156" t="s">
        <v>24</v>
      </c>
      <c r="B97" s="411" t="s">
        <v>353</v>
      </c>
      <c r="C97" s="412" t="s">
        <v>457</v>
      </c>
      <c r="D97" s="381" t="s">
        <v>463</v>
      </c>
      <c r="F97" s="520">
        <f>SUM(F90:F96)</f>
        <v>468267800</v>
      </c>
      <c r="G97" s="520">
        <f>SUM(G90:G96)</f>
        <v>363812258.02</v>
      </c>
      <c r="H97" s="409">
        <f>SUM(H90:H96)</f>
        <v>468267800</v>
      </c>
    </row>
    <row r="98" spans="1:7" ht="30" customHeight="1">
      <c r="A98" s="160" t="s">
        <v>24</v>
      </c>
      <c r="B98" s="411" t="s">
        <v>354</v>
      </c>
      <c r="C98" s="410" t="s">
        <v>303</v>
      </c>
      <c r="F98" s="386"/>
      <c r="G98" s="596"/>
    </row>
    <row r="99" spans="1:8" ht="30" customHeight="1">
      <c r="A99" s="156" t="s">
        <v>24</v>
      </c>
      <c r="B99" s="405" t="s">
        <v>354</v>
      </c>
      <c r="C99" s="384" t="s">
        <v>464</v>
      </c>
      <c r="D99" s="365">
        <v>6611</v>
      </c>
      <c r="E99" s="368" t="s">
        <v>6</v>
      </c>
      <c r="F99" s="386">
        <f>'prévision 2017'!I101</f>
        <v>27000000</v>
      </c>
      <c r="G99" s="386">
        <f>'prévision 2017'!H101</f>
        <v>25275200.05</v>
      </c>
      <c r="H99" s="397">
        <f>'prévision 2017'!G101</f>
        <v>27000000</v>
      </c>
    </row>
    <row r="100" spans="1:8" ht="30" customHeight="1">
      <c r="A100" s="156" t="s">
        <v>24</v>
      </c>
      <c r="B100" s="411" t="s">
        <v>354</v>
      </c>
      <c r="C100" s="384" t="s">
        <v>464</v>
      </c>
      <c r="D100" s="365">
        <v>60100</v>
      </c>
      <c r="E100" s="368" t="s">
        <v>7</v>
      </c>
      <c r="F100" s="386">
        <f>'prévision 2017'!I102</f>
        <v>917078</v>
      </c>
      <c r="G100" s="386">
        <f>'prévision 2017'!H102</f>
        <v>917078</v>
      </c>
      <c r="H100" s="397">
        <f>'prévision 2017'!G102</f>
        <v>917078</v>
      </c>
    </row>
    <row r="101" spans="1:8" ht="30" customHeight="1">
      <c r="A101" s="156" t="s">
        <v>24</v>
      </c>
      <c r="B101" s="411" t="s">
        <v>354</v>
      </c>
      <c r="C101" s="384" t="s">
        <v>464</v>
      </c>
      <c r="D101" s="365">
        <v>6041</v>
      </c>
      <c r="E101" s="368" t="s">
        <v>8</v>
      </c>
      <c r="F101" s="386">
        <f>'prévision 2017'!I103</f>
        <v>0</v>
      </c>
      <c r="G101" s="386">
        <f>'prévision 2017'!H103</f>
        <v>0</v>
      </c>
      <c r="H101" s="397">
        <f>'prévision 2017'!G103</f>
        <v>0</v>
      </c>
    </row>
    <row r="102" spans="1:8" ht="30" customHeight="1">
      <c r="A102" s="156" t="s">
        <v>24</v>
      </c>
      <c r="B102" s="411" t="s">
        <v>354</v>
      </c>
      <c r="C102" s="384" t="s">
        <v>464</v>
      </c>
      <c r="D102" s="365">
        <v>6122</v>
      </c>
      <c r="E102" s="389" t="s">
        <v>582</v>
      </c>
      <c r="F102" s="386">
        <f>'prévision 2017'!I104</f>
        <v>0</v>
      </c>
      <c r="G102" s="386">
        <f>'prévision 2017'!H104</f>
        <v>0</v>
      </c>
      <c r="H102" s="397">
        <f>'prévision 2017'!G104</f>
        <v>0</v>
      </c>
    </row>
    <row r="103" spans="1:8" ht="30" customHeight="1">
      <c r="A103" s="156" t="s">
        <v>24</v>
      </c>
      <c r="B103" s="411" t="s">
        <v>354</v>
      </c>
      <c r="C103" s="384" t="s">
        <v>464</v>
      </c>
      <c r="D103" s="365">
        <v>6133</v>
      </c>
      <c r="E103" s="368" t="s">
        <v>30</v>
      </c>
      <c r="F103" s="386">
        <f>'prévision 2017'!I105</f>
        <v>700000</v>
      </c>
      <c r="G103" s="386">
        <f>'prévision 2017'!H105</f>
        <v>700000</v>
      </c>
      <c r="H103" s="397">
        <f>'prévision 2017'!G105</f>
        <v>700000</v>
      </c>
    </row>
    <row r="104" spans="1:8" ht="30" customHeight="1">
      <c r="A104" s="156" t="s">
        <v>24</v>
      </c>
      <c r="B104" s="411" t="s">
        <v>354</v>
      </c>
      <c r="C104" s="384" t="s">
        <v>464</v>
      </c>
      <c r="D104" s="365">
        <v>6112</v>
      </c>
      <c r="E104" s="368" t="s">
        <v>236</v>
      </c>
      <c r="F104" s="386">
        <f>'prévision 2017'!I106</f>
        <v>0</v>
      </c>
      <c r="G104" s="386">
        <f>'prévision 2017'!H106</f>
        <v>0</v>
      </c>
      <c r="H104" s="397">
        <f>'prévision 2017'!G106</f>
        <v>0</v>
      </c>
    </row>
    <row r="105" spans="1:8" ht="30" customHeight="1">
      <c r="A105" s="156" t="s">
        <v>24</v>
      </c>
      <c r="B105" s="411" t="s">
        <v>354</v>
      </c>
      <c r="C105" s="384" t="s">
        <v>464</v>
      </c>
      <c r="D105" s="365">
        <v>6173</v>
      </c>
      <c r="E105" s="368" t="s">
        <v>237</v>
      </c>
      <c r="F105" s="386">
        <f>'prévision 2017'!I107</f>
        <v>0</v>
      </c>
      <c r="G105" s="386">
        <f>'prévision 2017'!H107</f>
        <v>0</v>
      </c>
      <c r="H105" s="397">
        <f>'prévision 2017'!G107</f>
        <v>0</v>
      </c>
    </row>
    <row r="106" spans="1:8" ht="30" customHeight="1">
      <c r="A106" s="156" t="s">
        <v>24</v>
      </c>
      <c r="B106" s="411" t="s">
        <v>354</v>
      </c>
      <c r="C106" s="384" t="s">
        <v>464</v>
      </c>
      <c r="D106" s="365">
        <v>6175</v>
      </c>
      <c r="E106" s="368" t="s">
        <v>13</v>
      </c>
      <c r="F106" s="386">
        <f>'prévision 2017'!I108</f>
        <v>500000</v>
      </c>
      <c r="G106" s="386">
        <f>'prévision 2017'!H108</f>
        <v>500000</v>
      </c>
      <c r="H106" s="397">
        <f>'prévision 2017'!G108</f>
        <v>500000</v>
      </c>
    </row>
    <row r="107" spans="1:8" ht="30" customHeight="1">
      <c r="A107" s="156" t="s">
        <v>24</v>
      </c>
      <c r="B107" s="411" t="s">
        <v>354</v>
      </c>
      <c r="C107" s="384" t="s">
        <v>464</v>
      </c>
      <c r="D107" s="381" t="s">
        <v>463</v>
      </c>
      <c r="F107" s="520">
        <f>SUM(F99:F106)</f>
        <v>29117078</v>
      </c>
      <c r="G107" s="520">
        <f>SUM(G99:G106)</f>
        <v>27392278.05</v>
      </c>
      <c r="H107" s="409">
        <f>SUM(H99:H106)</f>
        <v>29117078</v>
      </c>
    </row>
    <row r="108" spans="1:7" ht="30" customHeight="1">
      <c r="A108" s="160" t="s">
        <v>24</v>
      </c>
      <c r="B108" s="405" t="s">
        <v>355</v>
      </c>
      <c r="C108" s="413" t="s">
        <v>31</v>
      </c>
      <c r="F108" s="386"/>
      <c r="G108" s="596"/>
    </row>
    <row r="109" spans="1:8" ht="30" customHeight="1">
      <c r="A109" s="156" t="s">
        <v>24</v>
      </c>
      <c r="B109" s="405" t="s">
        <v>355</v>
      </c>
      <c r="C109" s="384" t="s">
        <v>465</v>
      </c>
      <c r="D109" s="365">
        <v>6611</v>
      </c>
      <c r="E109" s="368" t="s">
        <v>6</v>
      </c>
      <c r="F109" s="386">
        <f>'prévision 2017'!I111</f>
        <v>6315600</v>
      </c>
      <c r="G109" s="386">
        <f>'prévision 2017'!H111</f>
        <v>0</v>
      </c>
      <c r="H109" s="158">
        <f>'prévision 2017'!G111</f>
        <v>6315600</v>
      </c>
    </row>
    <row r="110" spans="1:8" ht="30" customHeight="1">
      <c r="A110" s="156" t="s">
        <v>24</v>
      </c>
      <c r="B110" s="411" t="s">
        <v>355</v>
      </c>
      <c r="C110" s="384" t="s">
        <v>465</v>
      </c>
      <c r="D110" s="365">
        <v>60100</v>
      </c>
      <c r="E110" s="368" t="s">
        <v>7</v>
      </c>
      <c r="F110" s="386">
        <f>'prévision 2017'!I112</f>
        <v>1000000</v>
      </c>
      <c r="G110" s="386">
        <f>'prévision 2017'!H112</f>
        <v>0</v>
      </c>
      <c r="H110" s="158">
        <f>'prévision 2017'!G112</f>
        <v>1000000</v>
      </c>
    </row>
    <row r="111" spans="1:8" ht="30" customHeight="1">
      <c r="A111" s="156" t="s">
        <v>24</v>
      </c>
      <c r="B111" s="411" t="s">
        <v>355</v>
      </c>
      <c r="C111" s="384" t="s">
        <v>465</v>
      </c>
      <c r="D111" s="365">
        <v>60101</v>
      </c>
      <c r="E111" s="366" t="s">
        <v>297</v>
      </c>
      <c r="F111" s="386">
        <f>'prévision 2017'!I113</f>
        <v>500000</v>
      </c>
      <c r="G111" s="386">
        <f>'prévision 2017'!H113</f>
        <v>0</v>
      </c>
      <c r="H111" s="158">
        <f>'prévision 2017'!G113</f>
        <v>500000</v>
      </c>
    </row>
    <row r="112" spans="1:8" ht="30" customHeight="1">
      <c r="A112" s="156" t="s">
        <v>24</v>
      </c>
      <c r="B112" s="411" t="s">
        <v>355</v>
      </c>
      <c r="C112" s="384" t="s">
        <v>465</v>
      </c>
      <c r="D112" s="365">
        <v>6122</v>
      </c>
      <c r="E112" s="389" t="s">
        <v>582</v>
      </c>
      <c r="F112" s="386">
        <f>'prévision 2017'!I114</f>
        <v>0</v>
      </c>
      <c r="G112" s="386">
        <f>'prévision 2017'!H114</f>
        <v>0</v>
      </c>
      <c r="H112" s="158">
        <f>'prévision 2017'!G114</f>
        <v>0</v>
      </c>
    </row>
    <row r="113" spans="1:8" ht="30" customHeight="1">
      <c r="A113" s="156" t="s">
        <v>24</v>
      </c>
      <c r="B113" s="411" t="s">
        <v>355</v>
      </c>
      <c r="C113" s="384" t="s">
        <v>465</v>
      </c>
      <c r="D113" s="365">
        <v>6173</v>
      </c>
      <c r="E113" s="368" t="s">
        <v>19</v>
      </c>
      <c r="F113" s="386">
        <f>'prévision 2017'!I115</f>
        <v>0</v>
      </c>
      <c r="G113" s="386">
        <f>'prévision 2017'!H115</f>
        <v>0</v>
      </c>
      <c r="H113" s="158">
        <f>'prévision 2017'!G115</f>
        <v>0</v>
      </c>
    </row>
    <row r="114" spans="1:8" ht="30" customHeight="1">
      <c r="A114" s="156" t="s">
        <v>24</v>
      </c>
      <c r="B114" s="411" t="s">
        <v>355</v>
      </c>
      <c r="C114" s="412" t="s">
        <v>465</v>
      </c>
      <c r="D114" s="365">
        <v>6175</v>
      </c>
      <c r="E114" s="368" t="s">
        <v>13</v>
      </c>
      <c r="F114" s="386">
        <f>'prévision 2017'!I116</f>
        <v>0</v>
      </c>
      <c r="G114" s="386">
        <f>'prévision 2017'!H116</f>
        <v>0</v>
      </c>
      <c r="H114" s="158">
        <f>'prévision 2017'!G116</f>
        <v>0</v>
      </c>
    </row>
    <row r="115" spans="1:8" ht="30" customHeight="1">
      <c r="A115" s="156" t="s">
        <v>24</v>
      </c>
      <c r="B115" s="411" t="s">
        <v>355</v>
      </c>
      <c r="C115" s="412" t="s">
        <v>465</v>
      </c>
      <c r="D115" s="381" t="s">
        <v>463</v>
      </c>
      <c r="E115" s="519"/>
      <c r="F115" s="520">
        <f>SUM(F109:F114)</f>
        <v>7815600</v>
      </c>
      <c r="G115" s="520">
        <f>SUM(G109:G114)</f>
        <v>0</v>
      </c>
      <c r="H115" s="520">
        <f>SUM(H109:H114)</f>
        <v>7815600</v>
      </c>
    </row>
    <row r="116" spans="1:7" ht="30" customHeight="1">
      <c r="A116" s="156" t="s">
        <v>24</v>
      </c>
      <c r="B116" s="405" t="s">
        <v>356</v>
      </c>
      <c r="C116" s="413" t="s">
        <v>32</v>
      </c>
      <c r="F116" s="386"/>
      <c r="G116" s="596"/>
    </row>
    <row r="117" spans="1:8" ht="30" customHeight="1">
      <c r="A117" s="156" t="s">
        <v>24</v>
      </c>
      <c r="B117" s="405" t="s">
        <v>356</v>
      </c>
      <c r="C117" s="384" t="s">
        <v>466</v>
      </c>
      <c r="D117" s="365">
        <v>6611</v>
      </c>
      <c r="E117" s="368" t="s">
        <v>6</v>
      </c>
      <c r="F117" s="386">
        <f>'prévision 2017'!I119</f>
        <v>0</v>
      </c>
      <c r="G117" s="386">
        <f>'prévision 2017'!H119</f>
        <v>0</v>
      </c>
      <c r="H117" s="397">
        <f>'prévision 2017'!G119</f>
        <v>7237598</v>
      </c>
    </row>
    <row r="118" spans="1:8" ht="30" customHeight="1">
      <c r="A118" s="156" t="s">
        <v>24</v>
      </c>
      <c r="B118" s="411" t="s">
        <v>356</v>
      </c>
      <c r="C118" s="384" t="s">
        <v>466</v>
      </c>
      <c r="D118" s="365">
        <v>6682</v>
      </c>
      <c r="E118" s="368" t="s">
        <v>266</v>
      </c>
      <c r="F118" s="386">
        <f>'prévision 2017'!I120</f>
        <v>0</v>
      </c>
      <c r="G118" s="386">
        <f>'prévision 2017'!H120</f>
        <v>0</v>
      </c>
      <c r="H118" s="397">
        <f>'prévision 2017'!G120</f>
        <v>0</v>
      </c>
    </row>
    <row r="119" spans="1:8" ht="30" customHeight="1">
      <c r="A119" s="156" t="s">
        <v>24</v>
      </c>
      <c r="B119" s="411" t="s">
        <v>356</v>
      </c>
      <c r="C119" s="384" t="s">
        <v>466</v>
      </c>
      <c r="D119" s="365">
        <v>60100</v>
      </c>
      <c r="E119" s="368" t="s">
        <v>7</v>
      </c>
      <c r="F119" s="386">
        <f>'prévision 2017'!I121</f>
        <v>0</v>
      </c>
      <c r="G119" s="386">
        <f>'prévision 2017'!H121</f>
        <v>0</v>
      </c>
      <c r="H119" s="397">
        <f>'prévision 2017'!G121</f>
        <v>0</v>
      </c>
    </row>
    <row r="120" spans="1:8" ht="30" customHeight="1">
      <c r="A120" s="156" t="s">
        <v>24</v>
      </c>
      <c r="B120" s="411" t="s">
        <v>356</v>
      </c>
      <c r="C120" s="384" t="s">
        <v>466</v>
      </c>
      <c r="D120" s="365">
        <v>60101</v>
      </c>
      <c r="E120" s="368" t="s">
        <v>255</v>
      </c>
      <c r="F120" s="386">
        <f>'prévision 2017'!I122</f>
        <v>0</v>
      </c>
      <c r="G120" s="386">
        <f>'prévision 2017'!H122</f>
        <v>0</v>
      </c>
      <c r="H120" s="397">
        <f>'prévision 2017'!G122</f>
        <v>0</v>
      </c>
    </row>
    <row r="121" spans="1:8" ht="30" customHeight="1">
      <c r="A121" s="156" t="s">
        <v>24</v>
      </c>
      <c r="B121" s="411" t="s">
        <v>356</v>
      </c>
      <c r="C121" s="384" t="s">
        <v>466</v>
      </c>
      <c r="D121" s="365">
        <v>6122</v>
      </c>
      <c r="E121" s="389" t="s">
        <v>582</v>
      </c>
      <c r="F121" s="386">
        <f>'prévision 2017'!I123</f>
        <v>0</v>
      </c>
      <c r="G121" s="386">
        <f>'prévision 2017'!H123</f>
        <v>0</v>
      </c>
      <c r="H121" s="397">
        <f>'prévision 2017'!G123</f>
        <v>0</v>
      </c>
    </row>
    <row r="122" spans="1:8" ht="30" customHeight="1">
      <c r="A122" s="156" t="s">
        <v>24</v>
      </c>
      <c r="B122" s="411" t="s">
        <v>356</v>
      </c>
      <c r="C122" s="384" t="s">
        <v>466</v>
      </c>
      <c r="D122" s="365">
        <v>6131</v>
      </c>
      <c r="E122" s="368" t="s">
        <v>562</v>
      </c>
      <c r="F122" s="386">
        <f>'prévision 2017'!I124</f>
        <v>0</v>
      </c>
      <c r="G122" s="386">
        <f>'prévision 2017'!H124</f>
        <v>0</v>
      </c>
      <c r="H122" s="397">
        <f>'prévision 2017'!G124</f>
        <v>0</v>
      </c>
    </row>
    <row r="123" spans="1:8" ht="30" customHeight="1">
      <c r="A123" s="156" t="s">
        <v>24</v>
      </c>
      <c r="B123" s="411" t="s">
        <v>356</v>
      </c>
      <c r="C123" s="384" t="s">
        <v>466</v>
      </c>
      <c r="D123" s="365">
        <v>6133</v>
      </c>
      <c r="E123" s="368" t="s">
        <v>30</v>
      </c>
      <c r="F123" s="386">
        <f>'prévision 2017'!I125</f>
        <v>0</v>
      </c>
      <c r="G123" s="386">
        <f>'prévision 2017'!H125</f>
        <v>0</v>
      </c>
      <c r="H123" s="397">
        <f>'prévision 2017'!G125</f>
        <v>0</v>
      </c>
    </row>
    <row r="124" spans="1:8" ht="30" customHeight="1">
      <c r="A124" s="156" t="s">
        <v>24</v>
      </c>
      <c r="B124" s="411" t="s">
        <v>356</v>
      </c>
      <c r="C124" s="384" t="s">
        <v>466</v>
      </c>
      <c r="D124" s="365">
        <v>6138</v>
      </c>
      <c r="E124" s="368" t="s">
        <v>177</v>
      </c>
      <c r="F124" s="386">
        <f>'prévision 2017'!I126</f>
        <v>0</v>
      </c>
      <c r="G124" s="386">
        <f>'prévision 2017'!H126</f>
        <v>0</v>
      </c>
      <c r="H124" s="397">
        <f>'prévision 2017'!G126</f>
        <v>0</v>
      </c>
    </row>
    <row r="125" spans="1:8" ht="30" customHeight="1">
      <c r="A125" s="156" t="s">
        <v>24</v>
      </c>
      <c r="B125" s="411" t="s">
        <v>356</v>
      </c>
      <c r="C125" s="384" t="s">
        <v>466</v>
      </c>
      <c r="D125" s="365">
        <v>6141</v>
      </c>
      <c r="E125" s="368" t="s">
        <v>267</v>
      </c>
      <c r="F125" s="386">
        <f>'prévision 2017'!I127</f>
        <v>0</v>
      </c>
      <c r="G125" s="386">
        <f>'prévision 2017'!H127</f>
        <v>0</v>
      </c>
      <c r="H125" s="397">
        <f>'prévision 2017'!G127</f>
        <v>0</v>
      </c>
    </row>
    <row r="126" spans="1:8" ht="30" customHeight="1">
      <c r="A126" s="156" t="s">
        <v>24</v>
      </c>
      <c r="B126" s="411" t="s">
        <v>356</v>
      </c>
      <c r="C126" s="384" t="s">
        <v>466</v>
      </c>
      <c r="D126" s="365">
        <v>6111</v>
      </c>
      <c r="E126" s="368" t="s">
        <v>235</v>
      </c>
      <c r="F126" s="386">
        <f>'prévision 2017'!I128</f>
        <v>0</v>
      </c>
      <c r="G126" s="386">
        <f>'prévision 2017'!H128</f>
        <v>0</v>
      </c>
      <c r="H126" s="397">
        <f>'prévision 2017'!G128</f>
        <v>0</v>
      </c>
    </row>
    <row r="127" spans="1:8" ht="30" customHeight="1">
      <c r="A127" s="156" t="s">
        <v>24</v>
      </c>
      <c r="B127" s="411" t="s">
        <v>356</v>
      </c>
      <c r="C127" s="384" t="s">
        <v>466</v>
      </c>
      <c r="D127" s="365">
        <v>6112</v>
      </c>
      <c r="E127" s="368" t="s">
        <v>236</v>
      </c>
      <c r="F127" s="386">
        <f>'prévision 2017'!I129</f>
        <v>0</v>
      </c>
      <c r="G127" s="386">
        <f>'prévision 2017'!H129</f>
        <v>0</v>
      </c>
      <c r="H127" s="397">
        <f>'prévision 2017'!G129</f>
        <v>0</v>
      </c>
    </row>
    <row r="128" spans="1:8" ht="30" customHeight="1">
      <c r="A128" s="156" t="s">
        <v>24</v>
      </c>
      <c r="B128" s="411" t="s">
        <v>356</v>
      </c>
      <c r="C128" s="384" t="s">
        <v>466</v>
      </c>
      <c r="D128" s="365">
        <v>6173</v>
      </c>
      <c r="E128" s="368" t="s">
        <v>19</v>
      </c>
      <c r="F128" s="386">
        <f>'prévision 2017'!I130</f>
        <v>0</v>
      </c>
      <c r="G128" s="386">
        <f>'prévision 2017'!H130</f>
        <v>0</v>
      </c>
      <c r="H128" s="397">
        <f>'prévision 2017'!G130</f>
        <v>0</v>
      </c>
    </row>
    <row r="129" spans="1:8" ht="30" customHeight="1">
      <c r="A129" s="156" t="s">
        <v>24</v>
      </c>
      <c r="B129" s="411" t="s">
        <v>356</v>
      </c>
      <c r="C129" s="384" t="s">
        <v>466</v>
      </c>
      <c r="D129" s="365">
        <v>6175</v>
      </c>
      <c r="E129" s="368" t="s">
        <v>13</v>
      </c>
      <c r="F129" s="386">
        <f>'prévision 2017'!I131</f>
        <v>0</v>
      </c>
      <c r="G129" s="386">
        <f>'prévision 2017'!H131</f>
        <v>0</v>
      </c>
      <c r="H129" s="397">
        <f>'prévision 2017'!G131</f>
        <v>0</v>
      </c>
    </row>
    <row r="130" spans="1:8" ht="30" customHeight="1">
      <c r="A130" s="156" t="s">
        <v>24</v>
      </c>
      <c r="B130" s="411" t="s">
        <v>356</v>
      </c>
      <c r="C130" s="384" t="s">
        <v>466</v>
      </c>
      <c r="D130" s="365">
        <v>6452</v>
      </c>
      <c r="E130" s="368" t="s">
        <v>15</v>
      </c>
      <c r="F130" s="386">
        <f>'prévision 2017'!I132</f>
        <v>0</v>
      </c>
      <c r="G130" s="386">
        <f>'prévision 2017'!H132</f>
        <v>0</v>
      </c>
      <c r="H130" s="397">
        <f>'prévision 2017'!G132</f>
        <v>0</v>
      </c>
    </row>
    <row r="131" spans="1:8" ht="30" customHeight="1">
      <c r="A131" s="156" t="s">
        <v>24</v>
      </c>
      <c r="B131" s="411" t="s">
        <v>356</v>
      </c>
      <c r="C131" s="384" t="s">
        <v>466</v>
      </c>
      <c r="D131" s="365">
        <v>2182</v>
      </c>
      <c r="E131" s="368" t="s">
        <v>43</v>
      </c>
      <c r="F131" s="386">
        <f>'prévision 2017'!I133</f>
        <v>0</v>
      </c>
      <c r="G131" s="386">
        <f>'prévision 2017'!H133</f>
        <v>0</v>
      </c>
      <c r="H131" s="397">
        <f>'prévision 2017'!G133</f>
        <v>0</v>
      </c>
    </row>
    <row r="132" spans="1:8" ht="30" customHeight="1">
      <c r="A132" s="156" t="s">
        <v>24</v>
      </c>
      <c r="B132" s="411" t="s">
        <v>356</v>
      </c>
      <c r="C132" s="384" t="s">
        <v>466</v>
      </c>
      <c r="D132" s="365">
        <v>2164</v>
      </c>
      <c r="E132" s="390" t="s">
        <v>583</v>
      </c>
      <c r="F132" s="386">
        <f>'prévision 2017'!I134</f>
        <v>0</v>
      </c>
      <c r="G132" s="386">
        <f>'prévision 2017'!H134</f>
        <v>0</v>
      </c>
      <c r="H132" s="397">
        <f>'prévision 2017'!G134</f>
        <v>0</v>
      </c>
    </row>
    <row r="133" spans="1:8" ht="19.5">
      <c r="A133" s="156" t="s">
        <v>24</v>
      </c>
      <c r="B133" s="411" t="s">
        <v>356</v>
      </c>
      <c r="C133" s="384" t="s">
        <v>466</v>
      </c>
      <c r="D133" s="365">
        <v>2171</v>
      </c>
      <c r="E133" s="368" t="s">
        <v>284</v>
      </c>
      <c r="F133" s="386">
        <f>'prévision 2017'!I135</f>
        <v>0</v>
      </c>
      <c r="G133" s="386">
        <f>'prévision 2017'!H135</f>
        <v>0</v>
      </c>
      <c r="H133" s="397">
        <f>'prévision 2017'!G135</f>
        <v>0</v>
      </c>
    </row>
    <row r="134" spans="1:8" ht="19.5">
      <c r="A134" s="156" t="s">
        <v>24</v>
      </c>
      <c r="B134" s="411" t="s">
        <v>356</v>
      </c>
      <c r="C134" s="384" t="s">
        <v>466</v>
      </c>
      <c r="D134" s="379" t="s">
        <v>463</v>
      </c>
      <c r="F134" s="520">
        <f>SUM(F117:F133)</f>
        <v>0</v>
      </c>
      <c r="G134" s="520">
        <f>SUM(G117:G133)</f>
        <v>0</v>
      </c>
      <c r="H134" s="166">
        <f>SUM(H117:H133)</f>
        <v>7237598</v>
      </c>
    </row>
    <row r="135" spans="1:8" ht="19.5">
      <c r="A135" s="156" t="s">
        <v>24</v>
      </c>
      <c r="B135" s="463" t="s">
        <v>357</v>
      </c>
      <c r="C135" s="410" t="s">
        <v>33</v>
      </c>
      <c r="D135" s="374"/>
      <c r="E135" s="374"/>
      <c r="F135" s="386"/>
      <c r="G135" s="596"/>
      <c r="H135" s="468"/>
    </row>
    <row r="136" spans="1:8" ht="19.5">
      <c r="A136" s="156" t="s">
        <v>24</v>
      </c>
      <c r="B136" s="463" t="s">
        <v>357</v>
      </c>
      <c r="C136" s="384" t="s">
        <v>467</v>
      </c>
      <c r="D136" s="365">
        <v>6611</v>
      </c>
      <c r="E136" s="368" t="s">
        <v>6</v>
      </c>
      <c r="F136" s="386">
        <f>'prévision 2017'!I138</f>
        <v>25810800</v>
      </c>
      <c r="G136" s="386">
        <f>'prévision 2017'!H138</f>
        <v>469333.05999999994</v>
      </c>
      <c r="H136" s="516">
        <f>'prévision 2017'!G138</f>
        <v>25810800</v>
      </c>
    </row>
    <row r="137" spans="1:8" ht="19.5">
      <c r="A137" s="156" t="s">
        <v>24</v>
      </c>
      <c r="B137" s="463" t="s">
        <v>357</v>
      </c>
      <c r="C137" s="384" t="s">
        <v>467</v>
      </c>
      <c r="D137" s="365">
        <v>60100</v>
      </c>
      <c r="E137" s="368" t="s">
        <v>34</v>
      </c>
      <c r="F137" s="386">
        <f>'prévision 2017'!I139</f>
        <v>846000</v>
      </c>
      <c r="G137" s="386">
        <f>'prévision 2017'!H139</f>
        <v>211000</v>
      </c>
      <c r="H137" s="516">
        <f>'prévision 2017'!G139</f>
        <v>846000</v>
      </c>
    </row>
    <row r="138" spans="1:8" ht="19.5">
      <c r="A138" s="156" t="s">
        <v>24</v>
      </c>
      <c r="B138" s="463" t="s">
        <v>357</v>
      </c>
      <c r="C138" s="384" t="s">
        <v>467</v>
      </c>
      <c r="D138" s="365">
        <v>60101</v>
      </c>
      <c r="E138" s="368" t="s">
        <v>297</v>
      </c>
      <c r="F138" s="386">
        <f>'prévision 2017'!I140</f>
        <v>368856</v>
      </c>
      <c r="G138" s="386">
        <f>'prévision 2017'!H140</f>
        <v>92000</v>
      </c>
      <c r="H138" s="372">
        <f>'prévision 2017'!G140</f>
        <v>368856</v>
      </c>
    </row>
    <row r="139" spans="1:8" ht="19.5">
      <c r="A139" s="156" t="s">
        <v>24</v>
      </c>
      <c r="B139" s="463" t="s">
        <v>357</v>
      </c>
      <c r="C139" s="384" t="s">
        <v>467</v>
      </c>
      <c r="D139" s="365">
        <v>6122</v>
      </c>
      <c r="E139" s="389" t="s">
        <v>582</v>
      </c>
      <c r="F139" s="386">
        <f>'prévision 2017'!I141</f>
        <v>564000</v>
      </c>
      <c r="G139" s="386">
        <f>'prévision 2017'!H141</f>
        <v>140300</v>
      </c>
      <c r="H139" s="372">
        <f>'prévision 2017'!G141</f>
        <v>564000</v>
      </c>
    </row>
    <row r="140" spans="1:8" ht="19.5">
      <c r="A140" s="156" t="s">
        <v>24</v>
      </c>
      <c r="B140" s="463" t="s">
        <v>357</v>
      </c>
      <c r="C140" s="384" t="s">
        <v>467</v>
      </c>
      <c r="D140" s="365">
        <v>2121</v>
      </c>
      <c r="E140" s="368" t="s">
        <v>587</v>
      </c>
      <c r="F140" s="386">
        <f>'prévision 2017'!I142</f>
        <v>0</v>
      </c>
      <c r="G140" s="386">
        <f>'prévision 2017'!H142</f>
        <v>0</v>
      </c>
      <c r="H140" s="469"/>
    </row>
    <row r="141" spans="1:8" ht="19.5">
      <c r="A141" s="156" t="s">
        <v>24</v>
      </c>
      <c r="B141" s="463" t="s">
        <v>357</v>
      </c>
      <c r="C141" s="384" t="s">
        <v>467</v>
      </c>
      <c r="D141" s="365">
        <v>2171</v>
      </c>
      <c r="E141" s="368" t="s">
        <v>284</v>
      </c>
      <c r="F141" s="386">
        <f>'prévision 2017'!I142</f>
        <v>0</v>
      </c>
      <c r="G141" s="386">
        <f>'prévision 2017'!H142</f>
        <v>0</v>
      </c>
      <c r="H141" s="469"/>
    </row>
    <row r="142" spans="1:8" ht="30" customHeight="1">
      <c r="A142" s="156" t="s">
        <v>24</v>
      </c>
      <c r="B142" s="463" t="s">
        <v>357</v>
      </c>
      <c r="C142" s="384" t="s">
        <v>467</v>
      </c>
      <c r="D142" s="379" t="s">
        <v>463</v>
      </c>
      <c r="E142" s="447"/>
      <c r="F142" s="520">
        <f>SUM(F136:F141)</f>
        <v>27589656</v>
      </c>
      <c r="G142" s="520">
        <f>SUM(G136:G141)</f>
        <v>912633.0599999999</v>
      </c>
      <c r="H142" s="523">
        <f>SUM(H136:H141)</f>
        <v>27589656</v>
      </c>
    </row>
    <row r="143" spans="1:8" ht="30" customHeight="1">
      <c r="A143" s="156" t="s">
        <v>24</v>
      </c>
      <c r="B143" s="405" t="s">
        <v>358</v>
      </c>
      <c r="C143" s="384" t="s">
        <v>457</v>
      </c>
      <c r="D143" s="415">
        <v>6173</v>
      </c>
      <c r="E143" s="402" t="s">
        <v>19</v>
      </c>
      <c r="F143" s="386">
        <f>'prévision 2017'!I145</f>
        <v>2600000</v>
      </c>
      <c r="G143" s="386">
        <f>'prévision 2017'!H145</f>
        <v>2600000</v>
      </c>
      <c r="H143" s="397">
        <f>'prévision 2017'!G145</f>
        <v>2600000</v>
      </c>
    </row>
    <row r="144" spans="1:8" ht="30" customHeight="1">
      <c r="A144" s="156" t="s">
        <v>24</v>
      </c>
      <c r="B144" s="405" t="s">
        <v>358</v>
      </c>
      <c r="C144" s="412" t="s">
        <v>457</v>
      </c>
      <c r="D144" s="379" t="s">
        <v>463</v>
      </c>
      <c r="F144" s="520">
        <f>F143</f>
        <v>2600000</v>
      </c>
      <c r="G144" s="520">
        <f>G143</f>
        <v>2600000</v>
      </c>
      <c r="H144" s="166">
        <f>H143</f>
        <v>2600000</v>
      </c>
    </row>
    <row r="145" spans="1:7" ht="30" customHeight="1">
      <c r="A145" s="156" t="s">
        <v>24</v>
      </c>
      <c r="B145" s="405" t="s">
        <v>359</v>
      </c>
      <c r="C145" s="410" t="s">
        <v>36</v>
      </c>
      <c r="F145" s="386"/>
      <c r="G145" s="596"/>
    </row>
    <row r="146" spans="1:8" ht="30" customHeight="1">
      <c r="A146" s="156" t="s">
        <v>24</v>
      </c>
      <c r="B146" s="405" t="s">
        <v>359</v>
      </c>
      <c r="C146" s="384" t="s">
        <v>457</v>
      </c>
      <c r="D146" s="415">
        <v>6173</v>
      </c>
      <c r="E146" s="402" t="s">
        <v>19</v>
      </c>
      <c r="F146" s="386">
        <f>'prévision 2017'!I148</f>
        <v>2000000</v>
      </c>
      <c r="G146" s="386">
        <f>'prévision 2017'!H148</f>
        <v>2000000</v>
      </c>
      <c r="H146" s="397">
        <f>'prévision 2017'!G148</f>
        <v>2000000</v>
      </c>
    </row>
    <row r="147" spans="1:8" ht="30" customHeight="1">
      <c r="A147" s="156" t="s">
        <v>24</v>
      </c>
      <c r="B147" s="411" t="s">
        <v>359</v>
      </c>
      <c r="C147" s="412" t="s">
        <v>457</v>
      </c>
      <c r="D147" s="396" t="s">
        <v>463</v>
      </c>
      <c r="F147" s="520">
        <f>F146</f>
        <v>2000000</v>
      </c>
      <c r="G147" s="520">
        <f>G146</f>
        <v>2000000</v>
      </c>
      <c r="H147" s="166">
        <f>H146</f>
        <v>2000000</v>
      </c>
    </row>
    <row r="148" spans="1:7" ht="30" customHeight="1">
      <c r="A148" s="156" t="s">
        <v>24</v>
      </c>
      <c r="B148" s="405" t="s">
        <v>360</v>
      </c>
      <c r="C148" s="413" t="s">
        <v>37</v>
      </c>
      <c r="F148" s="386"/>
      <c r="G148" s="596"/>
    </row>
    <row r="149" spans="1:8" ht="30" customHeight="1">
      <c r="A149" s="156" t="s">
        <v>24</v>
      </c>
      <c r="B149" s="405" t="s">
        <v>360</v>
      </c>
      <c r="C149" s="384" t="s">
        <v>466</v>
      </c>
      <c r="D149" s="365">
        <v>6611</v>
      </c>
      <c r="E149" s="368" t="s">
        <v>6</v>
      </c>
      <c r="F149" s="386">
        <f>'prévision 2017'!I151</f>
        <v>45789204</v>
      </c>
      <c r="G149" s="386">
        <f>'prévision 2017'!H151</f>
        <v>40311767.5</v>
      </c>
      <c r="H149" s="397">
        <f>'prévision 2017'!G151</f>
        <v>45789204</v>
      </c>
    </row>
    <row r="150" spans="1:8" ht="30" customHeight="1">
      <c r="A150" s="156" t="s">
        <v>24</v>
      </c>
      <c r="B150" s="411" t="s">
        <v>360</v>
      </c>
      <c r="C150" s="384" t="s">
        <v>466</v>
      </c>
      <c r="D150" s="365">
        <v>60100</v>
      </c>
      <c r="E150" s="368" t="s">
        <v>47</v>
      </c>
      <c r="F150" s="386">
        <f>'prévision 2017'!I152</f>
        <v>0</v>
      </c>
      <c r="G150" s="386">
        <f>'prévision 2017'!H152</f>
        <v>0</v>
      </c>
      <c r="H150" s="397">
        <f>'prévision 2017'!G152</f>
        <v>0</v>
      </c>
    </row>
    <row r="151" spans="1:8" ht="30" customHeight="1">
      <c r="A151" s="156" t="s">
        <v>24</v>
      </c>
      <c r="B151" s="411" t="s">
        <v>360</v>
      </c>
      <c r="C151" s="384" t="s">
        <v>466</v>
      </c>
      <c r="D151" s="365">
        <v>6041</v>
      </c>
      <c r="E151" s="368" t="s">
        <v>8</v>
      </c>
      <c r="F151" s="386">
        <f>'prévision 2017'!I153</f>
        <v>0</v>
      </c>
      <c r="G151" s="386">
        <f>'prévision 2017'!H153</f>
        <v>0</v>
      </c>
      <c r="H151" s="397">
        <f>'prévision 2017'!G153</f>
        <v>0</v>
      </c>
    </row>
    <row r="152" spans="1:8" ht="30" customHeight="1">
      <c r="A152" s="156" t="s">
        <v>24</v>
      </c>
      <c r="B152" s="411" t="s">
        <v>360</v>
      </c>
      <c r="C152" s="384" t="s">
        <v>466</v>
      </c>
      <c r="D152" s="365">
        <v>6173</v>
      </c>
      <c r="E152" s="368" t="s">
        <v>19</v>
      </c>
      <c r="F152" s="386">
        <f>'prévision 2017'!I154</f>
        <v>1060000</v>
      </c>
      <c r="G152" s="386">
        <f>'prévision 2017'!H154</f>
        <v>530000</v>
      </c>
      <c r="H152" s="397">
        <f>'prévision 2017'!G154</f>
        <v>1060000</v>
      </c>
    </row>
    <row r="153" spans="1:8" ht="30" customHeight="1">
      <c r="A153" s="156" t="s">
        <v>24</v>
      </c>
      <c r="B153" s="405" t="s">
        <v>360</v>
      </c>
      <c r="C153" s="412" t="s">
        <v>466</v>
      </c>
      <c r="D153" s="379" t="s">
        <v>463</v>
      </c>
      <c r="F153" s="520">
        <f>SUM(F149:F152)</f>
        <v>46849204</v>
      </c>
      <c r="G153" s="520">
        <f>SUM(G149:G152)</f>
        <v>40841767.5</v>
      </c>
      <c r="H153" s="166">
        <f>SUM(H149:H152)</f>
        <v>46849204</v>
      </c>
    </row>
    <row r="154" spans="1:7" ht="30" customHeight="1">
      <c r="A154" s="156" t="s">
        <v>24</v>
      </c>
      <c r="B154" s="405" t="s">
        <v>361</v>
      </c>
      <c r="C154" s="410" t="s">
        <v>38</v>
      </c>
      <c r="F154" s="386"/>
      <c r="G154" s="596"/>
    </row>
    <row r="155" spans="1:8" ht="30" customHeight="1">
      <c r="A155" s="156" t="s">
        <v>24</v>
      </c>
      <c r="B155" s="405" t="s">
        <v>361</v>
      </c>
      <c r="C155" s="384" t="s">
        <v>468</v>
      </c>
      <c r="D155" s="365">
        <v>6611</v>
      </c>
      <c r="E155" s="416" t="s">
        <v>6</v>
      </c>
      <c r="F155" s="386">
        <f>'prévision 2017'!I157</f>
        <v>20074000</v>
      </c>
      <c r="G155" s="386">
        <f>'prévision 2017'!H157</f>
        <v>0</v>
      </c>
      <c r="H155" s="158">
        <f>'prévision 2017'!G157</f>
        <v>20074000</v>
      </c>
    </row>
    <row r="156" spans="1:8" ht="30" customHeight="1">
      <c r="A156" s="156" t="s">
        <v>24</v>
      </c>
      <c r="B156" s="405" t="s">
        <v>361</v>
      </c>
      <c r="C156" s="384" t="s">
        <v>468</v>
      </c>
      <c r="D156" s="365">
        <v>60100</v>
      </c>
      <c r="E156" s="368" t="s">
        <v>7</v>
      </c>
      <c r="F156" s="386">
        <f>'prévision 2017'!I158</f>
        <v>1000000</v>
      </c>
      <c r="G156" s="386">
        <f>'prévision 2017'!H158</f>
        <v>999250</v>
      </c>
      <c r="H156" s="158">
        <f>'prévision 2017'!G158</f>
        <v>1000000</v>
      </c>
    </row>
    <row r="157" spans="1:8" ht="30" customHeight="1">
      <c r="A157" s="156" t="s">
        <v>24</v>
      </c>
      <c r="B157" s="411" t="s">
        <v>361</v>
      </c>
      <c r="C157" s="384" t="s">
        <v>468</v>
      </c>
      <c r="D157" s="365">
        <v>6122</v>
      </c>
      <c r="E157" s="389" t="s">
        <v>582</v>
      </c>
      <c r="F157" s="386">
        <f>'prévision 2017'!I159</f>
        <v>800000</v>
      </c>
      <c r="G157" s="386">
        <f>'prévision 2017'!H159</f>
        <v>683250</v>
      </c>
      <c r="H157" s="158">
        <f>'prévision 2017'!G159</f>
        <v>800000</v>
      </c>
    </row>
    <row r="158" spans="1:8" ht="30" customHeight="1">
      <c r="A158" s="156" t="s">
        <v>24</v>
      </c>
      <c r="B158" s="411" t="s">
        <v>361</v>
      </c>
      <c r="C158" s="412" t="s">
        <v>468</v>
      </c>
      <c r="D158" s="379" t="s">
        <v>463</v>
      </c>
      <c r="F158" s="520">
        <f>SUM(F155:F157)</f>
        <v>21874000</v>
      </c>
      <c r="G158" s="520">
        <f>SUM(G155:G157)</f>
        <v>1682500</v>
      </c>
      <c r="H158" s="166">
        <f>SUM(H155:H157)</f>
        <v>21874000</v>
      </c>
    </row>
    <row r="159" spans="1:7" ht="30" customHeight="1">
      <c r="A159" s="156" t="s">
        <v>24</v>
      </c>
      <c r="B159" s="405" t="s">
        <v>362</v>
      </c>
      <c r="C159" s="413" t="s">
        <v>39</v>
      </c>
      <c r="F159" s="386"/>
      <c r="G159" s="596"/>
    </row>
    <row r="160" spans="1:8" ht="30" customHeight="1">
      <c r="A160" s="156" t="s">
        <v>24</v>
      </c>
      <c r="B160" s="405" t="s">
        <v>362</v>
      </c>
      <c r="C160" s="384" t="s">
        <v>469</v>
      </c>
      <c r="D160" s="365">
        <v>6611</v>
      </c>
      <c r="E160" s="368" t="s">
        <v>6</v>
      </c>
      <c r="F160" s="386">
        <f>'prévision 2017'!I162</f>
        <v>3853203561.2209997</v>
      </c>
      <c r="G160" s="386">
        <f>'prévision 2017'!H162</f>
        <v>3880490142</v>
      </c>
      <c r="H160" s="397">
        <f>'prévision 2017'!G162</f>
        <v>3853203561.2209997</v>
      </c>
    </row>
    <row r="161" spans="1:8" ht="30" customHeight="1">
      <c r="A161" s="156" t="s">
        <v>24</v>
      </c>
      <c r="B161" s="411" t="s">
        <v>362</v>
      </c>
      <c r="C161" s="384" t="s">
        <v>469</v>
      </c>
      <c r="D161" s="365">
        <v>6173</v>
      </c>
      <c r="E161" s="368" t="s">
        <v>19</v>
      </c>
      <c r="F161" s="386">
        <f>'prévision 2017'!I163</f>
        <v>0</v>
      </c>
      <c r="G161" s="386">
        <f>'prévision 2017'!H163</f>
        <v>0</v>
      </c>
      <c r="H161" s="397">
        <f>'prévision 2017'!G163</f>
        <v>0</v>
      </c>
    </row>
    <row r="162" spans="1:8" ht="30" customHeight="1">
      <c r="A162" s="156" t="s">
        <v>24</v>
      </c>
      <c r="B162" s="411" t="s">
        <v>362</v>
      </c>
      <c r="C162" s="384" t="s">
        <v>469</v>
      </c>
      <c r="D162" s="365">
        <v>6174</v>
      </c>
      <c r="E162" s="368" t="s">
        <v>40</v>
      </c>
      <c r="F162" s="386">
        <f>'prévision 2017'!I164</f>
        <v>1081533486</v>
      </c>
      <c r="G162" s="386">
        <f>'prévision 2017'!H164</f>
        <v>1081533487</v>
      </c>
      <c r="H162" s="397">
        <f>'prévision 2017'!G164</f>
        <v>1081533486</v>
      </c>
    </row>
    <row r="163" spans="1:8" ht="30" customHeight="1">
      <c r="A163" s="156" t="s">
        <v>24</v>
      </c>
      <c r="B163" s="411" t="s">
        <v>362</v>
      </c>
      <c r="C163" s="384" t="s">
        <v>469</v>
      </c>
      <c r="D163" s="365">
        <v>6432</v>
      </c>
      <c r="E163" s="368" t="s">
        <v>41</v>
      </c>
      <c r="F163" s="386">
        <f>'prévision 2017'!I165</f>
        <v>73380217</v>
      </c>
      <c r="G163" s="386">
        <f>'prévision 2017'!H165</f>
        <v>73380216</v>
      </c>
      <c r="H163" s="397">
        <f>'prévision 2017'!G165</f>
        <v>73380217</v>
      </c>
    </row>
    <row r="164" spans="1:8" ht="30" customHeight="1">
      <c r="A164" s="156" t="s">
        <v>24</v>
      </c>
      <c r="B164" s="411" t="s">
        <v>362</v>
      </c>
      <c r="C164" s="384" t="s">
        <v>469</v>
      </c>
      <c r="D164" s="365">
        <v>6433</v>
      </c>
      <c r="E164" s="390" t="s">
        <v>42</v>
      </c>
      <c r="F164" s="386">
        <f>'prévision 2017'!I166</f>
        <v>11721022</v>
      </c>
      <c r="G164" s="386">
        <f>'prévision 2017'!H166</f>
        <v>11721022</v>
      </c>
      <c r="H164" s="397">
        <f>'prévision 2017'!G166</f>
        <v>11721022</v>
      </c>
    </row>
    <row r="165" spans="1:8" ht="30" customHeight="1">
      <c r="A165" s="156" t="s">
        <v>24</v>
      </c>
      <c r="B165" s="411" t="s">
        <v>362</v>
      </c>
      <c r="C165" s="384" t="s">
        <v>469</v>
      </c>
      <c r="D165" s="365">
        <v>6452</v>
      </c>
      <c r="E165" s="390" t="s">
        <v>15</v>
      </c>
      <c r="F165" s="386">
        <f>'prévision 2017'!I167</f>
        <v>0</v>
      </c>
      <c r="G165" s="386">
        <f>'prévision 2017'!H167</f>
        <v>0</v>
      </c>
      <c r="H165" s="397">
        <f>'prévision 2017'!G167</f>
        <v>0</v>
      </c>
    </row>
    <row r="166" spans="1:8" ht="30" customHeight="1">
      <c r="A166" s="156" t="s">
        <v>24</v>
      </c>
      <c r="B166" s="411" t="s">
        <v>362</v>
      </c>
      <c r="C166" s="384" t="s">
        <v>469</v>
      </c>
      <c r="D166" s="365">
        <v>2182</v>
      </c>
      <c r="E166" s="416" t="s">
        <v>43</v>
      </c>
      <c r="F166" s="386">
        <f>'prévision 2017'!I168</f>
        <v>0</v>
      </c>
      <c r="G166" s="386">
        <f>'prévision 2017'!H168</f>
        <v>0</v>
      </c>
      <c r="H166" s="397">
        <f>'prévision 2017'!G168</f>
        <v>0</v>
      </c>
    </row>
    <row r="167" spans="1:8" ht="30" customHeight="1">
      <c r="A167" s="156" t="s">
        <v>24</v>
      </c>
      <c r="B167" s="411" t="s">
        <v>362</v>
      </c>
      <c r="C167" s="384" t="s">
        <v>469</v>
      </c>
      <c r="D167" s="365">
        <v>2164</v>
      </c>
      <c r="E167" s="416" t="s">
        <v>602</v>
      </c>
      <c r="F167" s="386">
        <f>'prévision 2017'!I169</f>
        <v>0</v>
      </c>
      <c r="G167" s="386">
        <f>'prévision 2017'!H169</f>
        <v>0</v>
      </c>
      <c r="H167" s="397">
        <f>'prévision 2017'!G169</f>
        <v>0</v>
      </c>
    </row>
    <row r="168" spans="1:8" ht="30" customHeight="1">
      <c r="A168" s="156" t="s">
        <v>24</v>
      </c>
      <c r="B168" s="411" t="s">
        <v>362</v>
      </c>
      <c r="C168" s="384" t="s">
        <v>469</v>
      </c>
      <c r="D168" s="365">
        <v>2162</v>
      </c>
      <c r="E168" s="416" t="s">
        <v>603</v>
      </c>
      <c r="F168" s="386">
        <f>'prévision 2017'!I170</f>
        <v>0</v>
      </c>
      <c r="G168" s="386">
        <f>'prévision 2017'!H170</f>
        <v>0</v>
      </c>
      <c r="H168" s="397">
        <f>'prévision 2017'!G170</f>
        <v>0</v>
      </c>
    </row>
    <row r="169" spans="1:8" ht="30" customHeight="1">
      <c r="A169" s="156" t="s">
        <v>24</v>
      </c>
      <c r="B169" s="411" t="s">
        <v>362</v>
      </c>
      <c r="C169" s="384" t="s">
        <v>469</v>
      </c>
      <c r="D169" s="379" t="s">
        <v>463</v>
      </c>
      <c r="F169" s="520">
        <f>SUM(F160:F168)</f>
        <v>5019838286.221</v>
      </c>
      <c r="G169" s="520">
        <f>SUM(G160:G168)</f>
        <v>5047124867</v>
      </c>
      <c r="H169" s="166">
        <f>SUM(H160:H168)</f>
        <v>5019838286.221</v>
      </c>
    </row>
    <row r="170" spans="1:7" ht="30" customHeight="1">
      <c r="A170" s="156" t="s">
        <v>24</v>
      </c>
      <c r="B170" s="405" t="s">
        <v>363</v>
      </c>
      <c r="C170" s="417" t="s">
        <v>232</v>
      </c>
      <c r="F170" s="386"/>
      <c r="G170" s="596"/>
    </row>
    <row r="171" spans="1:8" ht="30" customHeight="1">
      <c r="A171" s="156" t="s">
        <v>24</v>
      </c>
      <c r="B171" s="405" t="s">
        <v>363</v>
      </c>
      <c r="C171" s="384" t="s">
        <v>468</v>
      </c>
      <c r="D171" s="365">
        <v>6611</v>
      </c>
      <c r="E171" s="368" t="s">
        <v>6</v>
      </c>
      <c r="F171" s="386">
        <f>'prévision 2017'!I173</f>
        <v>0</v>
      </c>
      <c r="G171" s="386">
        <f>'prévision 2017'!H173</f>
        <v>0</v>
      </c>
      <c r="H171" s="397">
        <f>'prévision 2017'!G173</f>
        <v>0</v>
      </c>
    </row>
    <row r="172" spans="1:8" ht="30" customHeight="1">
      <c r="A172" s="156" t="s">
        <v>24</v>
      </c>
      <c r="B172" s="411" t="s">
        <v>363</v>
      </c>
      <c r="C172" s="384" t="s">
        <v>468</v>
      </c>
      <c r="D172" s="365">
        <v>6682</v>
      </c>
      <c r="E172" s="368" t="s">
        <v>262</v>
      </c>
      <c r="F172" s="386">
        <f>'prévision 2017'!I174</f>
        <v>0</v>
      </c>
      <c r="G172" s="386">
        <f>'prévision 2017'!H174</f>
        <v>0</v>
      </c>
      <c r="H172" s="397">
        <f>'prévision 2017'!G174</f>
        <v>0</v>
      </c>
    </row>
    <row r="173" spans="1:8" ht="30" customHeight="1">
      <c r="A173" s="156" t="s">
        <v>24</v>
      </c>
      <c r="B173" s="411" t="s">
        <v>363</v>
      </c>
      <c r="C173" s="384" t="s">
        <v>468</v>
      </c>
      <c r="D173" s="365">
        <v>60100</v>
      </c>
      <c r="E173" s="368" t="s">
        <v>47</v>
      </c>
      <c r="F173" s="386">
        <f>'prévision 2017'!I175</f>
        <v>5000000</v>
      </c>
      <c r="G173" s="386">
        <f>'prévision 2017'!H175</f>
        <v>1250000</v>
      </c>
      <c r="H173" s="397">
        <f>'prévision 2017'!G175</f>
        <v>5000000</v>
      </c>
    </row>
    <row r="174" spans="1:8" ht="30" customHeight="1">
      <c r="A174" s="156" t="s">
        <v>24</v>
      </c>
      <c r="B174" s="411" t="s">
        <v>363</v>
      </c>
      <c r="C174" s="384" t="s">
        <v>468</v>
      </c>
      <c r="D174" s="365">
        <v>60101</v>
      </c>
      <c r="E174" s="368" t="s">
        <v>255</v>
      </c>
      <c r="F174" s="386">
        <f>'prévision 2017'!I176</f>
        <v>5000000</v>
      </c>
      <c r="G174" s="386">
        <f>'prévision 2017'!H176</f>
        <v>1250000</v>
      </c>
      <c r="H174" s="397">
        <f>'prévision 2017'!G176</f>
        <v>5000000</v>
      </c>
    </row>
    <row r="175" spans="1:8" ht="30" customHeight="1">
      <c r="A175" s="156" t="s">
        <v>24</v>
      </c>
      <c r="B175" s="411" t="s">
        <v>363</v>
      </c>
      <c r="C175" s="384" t="s">
        <v>468</v>
      </c>
      <c r="D175" s="365">
        <v>6041</v>
      </c>
      <c r="E175" s="368" t="s">
        <v>8</v>
      </c>
      <c r="F175" s="386">
        <f>'prévision 2017'!I177</f>
        <v>0</v>
      </c>
      <c r="G175" s="386">
        <f>'prévision 2017'!H177</f>
        <v>0</v>
      </c>
      <c r="H175" s="397">
        <f>'prévision 2017'!G177</f>
        <v>0</v>
      </c>
    </row>
    <row r="176" spans="1:8" ht="30" customHeight="1">
      <c r="A176" s="156" t="s">
        <v>24</v>
      </c>
      <c r="B176" s="411" t="s">
        <v>363</v>
      </c>
      <c r="C176" s="384" t="s">
        <v>468</v>
      </c>
      <c r="D176" s="365">
        <v>6018</v>
      </c>
      <c r="E176" s="368" t="s">
        <v>215</v>
      </c>
      <c r="F176" s="386">
        <f>'prévision 2017'!I178</f>
        <v>0</v>
      </c>
      <c r="G176" s="386">
        <f>'prévision 2017'!H178</f>
        <v>0</v>
      </c>
      <c r="H176" s="397">
        <f>'prévision 2017'!G178</f>
        <v>0</v>
      </c>
    </row>
    <row r="177" spans="1:8" ht="30" customHeight="1">
      <c r="A177" s="156" t="s">
        <v>24</v>
      </c>
      <c r="B177" s="411" t="s">
        <v>363</v>
      </c>
      <c r="C177" s="384" t="s">
        <v>468</v>
      </c>
      <c r="D177" s="365">
        <v>6122</v>
      </c>
      <c r="E177" s="389" t="s">
        <v>582</v>
      </c>
      <c r="F177" s="386">
        <f>'prévision 2017'!I179</f>
        <v>1000000</v>
      </c>
      <c r="G177" s="386">
        <f>'prévision 2017'!H179</f>
        <v>250000</v>
      </c>
      <c r="H177" s="397">
        <f>'prévision 2017'!G179</f>
        <v>1000000</v>
      </c>
    </row>
    <row r="178" spans="1:8" ht="30" customHeight="1">
      <c r="A178" s="156" t="s">
        <v>24</v>
      </c>
      <c r="B178" s="411" t="s">
        <v>363</v>
      </c>
      <c r="C178" s="384" t="s">
        <v>468</v>
      </c>
      <c r="D178" s="365">
        <v>6133</v>
      </c>
      <c r="E178" s="368" t="s">
        <v>243</v>
      </c>
      <c r="F178" s="386">
        <f>'prévision 2017'!I180</f>
        <v>0</v>
      </c>
      <c r="G178" s="386">
        <f>'prévision 2017'!H180</f>
        <v>0</v>
      </c>
      <c r="H178" s="397">
        <f>'prévision 2017'!G180</f>
        <v>0</v>
      </c>
    </row>
    <row r="179" spans="1:8" ht="30" customHeight="1">
      <c r="A179" s="156" t="s">
        <v>24</v>
      </c>
      <c r="B179" s="411" t="s">
        <v>363</v>
      </c>
      <c r="C179" s="384" t="s">
        <v>468</v>
      </c>
      <c r="D179" s="365">
        <v>6138</v>
      </c>
      <c r="E179" s="368" t="s">
        <v>177</v>
      </c>
      <c r="F179" s="386">
        <f>'prévision 2017'!I181</f>
        <v>0</v>
      </c>
      <c r="G179" s="386">
        <f>'prévision 2017'!H181</f>
        <v>0</v>
      </c>
      <c r="H179" s="397">
        <f>'prévision 2017'!G181</f>
        <v>0</v>
      </c>
    </row>
    <row r="180" spans="1:8" ht="30" customHeight="1">
      <c r="A180" s="156" t="s">
        <v>24</v>
      </c>
      <c r="B180" s="411" t="s">
        <v>363</v>
      </c>
      <c r="C180" s="384" t="s">
        <v>468</v>
      </c>
      <c r="D180" s="365">
        <v>6052</v>
      </c>
      <c r="E180" s="389" t="s">
        <v>10</v>
      </c>
      <c r="F180" s="386">
        <f>'prévision 2017'!I182</f>
        <v>0</v>
      </c>
      <c r="G180" s="386">
        <f>'prévision 2017'!H182</f>
        <v>0</v>
      </c>
      <c r="H180" s="397">
        <f>'prévision 2017'!G182</f>
        <v>0</v>
      </c>
    </row>
    <row r="181" spans="1:8" ht="30" customHeight="1">
      <c r="A181" s="156" t="s">
        <v>24</v>
      </c>
      <c r="B181" s="411" t="s">
        <v>363</v>
      </c>
      <c r="C181" s="384" t="s">
        <v>468</v>
      </c>
      <c r="D181" s="365">
        <v>6152</v>
      </c>
      <c r="E181" s="389" t="s">
        <v>256</v>
      </c>
      <c r="F181" s="386">
        <f>'prévision 2017'!I183</f>
        <v>0</v>
      </c>
      <c r="G181" s="386">
        <f>'prévision 2017'!H183</f>
        <v>0</v>
      </c>
      <c r="H181" s="397">
        <f>'prévision 2017'!G183</f>
        <v>0</v>
      </c>
    </row>
    <row r="182" spans="1:8" ht="30" customHeight="1">
      <c r="A182" s="156" t="s">
        <v>24</v>
      </c>
      <c r="B182" s="411" t="s">
        <v>363</v>
      </c>
      <c r="C182" s="384" t="s">
        <v>468</v>
      </c>
      <c r="D182" s="365">
        <v>6111</v>
      </c>
      <c r="E182" s="388" t="s">
        <v>11</v>
      </c>
      <c r="F182" s="386">
        <f>'prévision 2017'!I184</f>
        <v>0</v>
      </c>
      <c r="G182" s="386">
        <f>'prévision 2017'!H184</f>
        <v>0</v>
      </c>
      <c r="H182" s="397">
        <f>'prévision 2017'!G184</f>
        <v>0</v>
      </c>
    </row>
    <row r="183" spans="1:8" ht="30" customHeight="1">
      <c r="A183" s="156" t="s">
        <v>24</v>
      </c>
      <c r="B183" s="411" t="s">
        <v>363</v>
      </c>
      <c r="C183" s="384" t="s">
        <v>468</v>
      </c>
      <c r="D183" s="365">
        <v>6112</v>
      </c>
      <c r="E183" s="389" t="s">
        <v>12</v>
      </c>
      <c r="F183" s="386">
        <f>'prévision 2017'!I185</f>
        <v>0</v>
      </c>
      <c r="G183" s="386">
        <f>'prévision 2017'!H185</f>
        <v>0</v>
      </c>
      <c r="H183" s="397">
        <f>'prévision 2017'!G185</f>
        <v>0</v>
      </c>
    </row>
    <row r="184" spans="1:8" ht="30" customHeight="1">
      <c r="A184" s="156" t="s">
        <v>24</v>
      </c>
      <c r="B184" s="411" t="s">
        <v>363</v>
      </c>
      <c r="C184" s="384" t="s">
        <v>468</v>
      </c>
      <c r="D184" s="365">
        <v>6173</v>
      </c>
      <c r="E184" s="389" t="s">
        <v>244</v>
      </c>
      <c r="F184" s="386">
        <f>'prévision 2017'!I186</f>
        <v>0</v>
      </c>
      <c r="G184" s="386">
        <f>'prévision 2017'!H186</f>
        <v>0</v>
      </c>
      <c r="H184" s="397">
        <f>'prévision 2017'!G186</f>
        <v>0</v>
      </c>
    </row>
    <row r="185" spans="1:8" ht="30" customHeight="1">
      <c r="A185" s="156" t="s">
        <v>24</v>
      </c>
      <c r="B185" s="411" t="s">
        <v>363</v>
      </c>
      <c r="C185" s="384" t="s">
        <v>468</v>
      </c>
      <c r="D185" s="365">
        <v>6175</v>
      </c>
      <c r="E185" s="389" t="s">
        <v>13</v>
      </c>
      <c r="F185" s="386">
        <f>'prévision 2017'!I187</f>
        <v>0</v>
      </c>
      <c r="G185" s="386">
        <f>'prévision 2017'!H187</f>
        <v>0</v>
      </c>
      <c r="H185" s="397">
        <f>'prévision 2017'!G187</f>
        <v>0</v>
      </c>
    </row>
    <row r="186" spans="1:8" ht="30" customHeight="1">
      <c r="A186" s="156" t="s">
        <v>24</v>
      </c>
      <c r="B186" s="411" t="s">
        <v>363</v>
      </c>
      <c r="C186" s="384" t="s">
        <v>468</v>
      </c>
      <c r="D186" s="365">
        <v>2121</v>
      </c>
      <c r="E186" s="368" t="s">
        <v>590</v>
      </c>
      <c r="F186" s="386">
        <f>'prévision 2017'!I188</f>
        <v>0</v>
      </c>
      <c r="G186" s="386">
        <f>'prévision 2017'!H188</f>
        <v>0</v>
      </c>
      <c r="H186" s="397">
        <f>'prévision 2017'!G188</f>
        <v>0</v>
      </c>
    </row>
    <row r="187" spans="1:8" ht="30" customHeight="1">
      <c r="A187" s="156" t="s">
        <v>24</v>
      </c>
      <c r="B187" s="411" t="s">
        <v>363</v>
      </c>
      <c r="C187" s="384" t="s">
        <v>468</v>
      </c>
      <c r="D187" s="365">
        <v>2164</v>
      </c>
      <c r="E187" s="368" t="s">
        <v>283</v>
      </c>
      <c r="F187" s="386">
        <f>'prévision 2017'!I189</f>
        <v>0</v>
      </c>
      <c r="G187" s="386">
        <f>'prévision 2017'!H189</f>
        <v>0</v>
      </c>
      <c r="H187" s="397">
        <f>'prévision 2017'!G189</f>
        <v>0</v>
      </c>
    </row>
    <row r="188" spans="1:10" ht="30" customHeight="1">
      <c r="A188" s="156" t="s">
        <v>24</v>
      </c>
      <c r="B188" s="411" t="s">
        <v>363</v>
      </c>
      <c r="C188" s="384" t="s">
        <v>468</v>
      </c>
      <c r="D188" s="365">
        <v>2171</v>
      </c>
      <c r="E188" s="368" t="s">
        <v>284</v>
      </c>
      <c r="F188" s="386">
        <f>'prévision 2017'!I190</f>
        <v>0</v>
      </c>
      <c r="G188" s="386">
        <f>'prévision 2017'!H190</f>
        <v>0</v>
      </c>
      <c r="H188" s="397">
        <f>'prévision 2017'!G190</f>
        <v>0</v>
      </c>
      <c r="J188" s="158">
        <f>'prévision 2017'!G195-H193</f>
        <v>0</v>
      </c>
    </row>
    <row r="189" spans="1:10" ht="30" customHeight="1">
      <c r="A189" s="156" t="s">
        <v>24</v>
      </c>
      <c r="B189" s="411" t="s">
        <v>363</v>
      </c>
      <c r="C189" s="384" t="s">
        <v>468</v>
      </c>
      <c r="D189" s="379" t="s">
        <v>463</v>
      </c>
      <c r="F189" s="520">
        <f>SUM(F171:F188)</f>
        <v>11000000</v>
      </c>
      <c r="G189" s="520">
        <f>SUM(G171:G188)</f>
        <v>2750000</v>
      </c>
      <c r="H189" s="166">
        <f>SUM(H171:H188)</f>
        <v>11000000</v>
      </c>
      <c r="J189" s="158"/>
    </row>
    <row r="190" spans="1:10" ht="30" customHeight="1">
      <c r="A190" s="156" t="s">
        <v>24</v>
      </c>
      <c r="B190" s="556" t="s">
        <v>682</v>
      </c>
      <c r="C190" s="384"/>
      <c r="D190" s="557" t="s">
        <v>680</v>
      </c>
      <c r="F190" s="386"/>
      <c r="G190" s="386"/>
      <c r="H190" s="397"/>
      <c r="J190" s="158"/>
    </row>
    <row r="191" spans="1:10" ht="30" customHeight="1">
      <c r="A191" s="156" t="s">
        <v>24</v>
      </c>
      <c r="B191" s="558" t="s">
        <v>682</v>
      </c>
      <c r="C191" s="384"/>
      <c r="D191" s="379">
        <v>6311</v>
      </c>
      <c r="E191" s="157" t="s">
        <v>681</v>
      </c>
      <c r="F191" s="386">
        <f>'prévision 2017'!I193</f>
        <v>5000000</v>
      </c>
      <c r="G191" s="386">
        <f>'prévision 2017'!H193</f>
        <v>0</v>
      </c>
      <c r="H191" s="386">
        <f>'prévision 2017'!G193</f>
        <v>0</v>
      </c>
      <c r="J191" s="158"/>
    </row>
    <row r="192" spans="1:10" ht="30" customHeight="1">
      <c r="A192" s="160" t="s">
        <v>24</v>
      </c>
      <c r="B192" s="556" t="s">
        <v>682</v>
      </c>
      <c r="C192" s="384"/>
      <c r="D192" s="379" t="s">
        <v>463</v>
      </c>
      <c r="F192" s="520">
        <f>F191</f>
        <v>5000000</v>
      </c>
      <c r="G192" s="520">
        <f>G191</f>
        <v>0</v>
      </c>
      <c r="H192" s="520">
        <f>H191</f>
        <v>0</v>
      </c>
      <c r="J192" s="158"/>
    </row>
    <row r="193" spans="1:8" ht="30" customHeight="1">
      <c r="A193" s="156" t="s">
        <v>24</v>
      </c>
      <c r="B193" s="160" t="s">
        <v>657</v>
      </c>
      <c r="C193" s="156"/>
      <c r="F193" s="520">
        <f>F192+F189+F169+F158+F147+F144+F134+F115+F107+F97+F88+F79+F153+F142</f>
        <v>6717029584.221</v>
      </c>
      <c r="G193" s="520">
        <f>G192+G189+G169+G158+G147+G144+G134+G115+G107+G97+G88+G79+G153+G142</f>
        <v>6455372977.150001</v>
      </c>
      <c r="H193" s="520">
        <f>H192+H189+H169+H158+H147+H144+H134+H115+H107+H97+H88+H79+H153+H142</f>
        <v>6676067182.221</v>
      </c>
    </row>
    <row r="194" spans="1:7" ht="30" customHeight="1">
      <c r="A194" s="639" t="s">
        <v>44</v>
      </c>
      <c r="B194" s="367" t="s">
        <v>538</v>
      </c>
      <c r="C194" s="156"/>
      <c r="F194" s="386"/>
      <c r="G194" s="596"/>
    </row>
    <row r="195" spans="1:7" ht="30" customHeight="1">
      <c r="A195" s="635" t="s">
        <v>44</v>
      </c>
      <c r="B195" s="405" t="s">
        <v>364</v>
      </c>
      <c r="C195" s="410" t="s">
        <v>45</v>
      </c>
      <c r="F195" s="386"/>
      <c r="G195" s="596"/>
    </row>
    <row r="196" spans="1:8" ht="30" customHeight="1">
      <c r="A196" s="639" t="s">
        <v>44</v>
      </c>
      <c r="B196" s="405" t="s">
        <v>364</v>
      </c>
      <c r="C196" s="384" t="s">
        <v>470</v>
      </c>
      <c r="D196" s="365">
        <v>6611</v>
      </c>
      <c r="E196" s="368" t="s">
        <v>6</v>
      </c>
      <c r="F196" s="386">
        <f>'prévision 2017'!I198</f>
        <v>144086040</v>
      </c>
      <c r="G196" s="386">
        <f>'prévision 2017'!H198</f>
        <v>158329014.42999998</v>
      </c>
      <c r="H196" s="397">
        <f>'prévision 2017'!G198</f>
        <v>144086040</v>
      </c>
    </row>
    <row r="197" spans="1:8" ht="30" customHeight="1">
      <c r="A197" s="640" t="s">
        <v>44</v>
      </c>
      <c r="B197" s="411" t="s">
        <v>364</v>
      </c>
      <c r="C197" s="384" t="s">
        <v>470</v>
      </c>
      <c r="D197" s="365">
        <v>60100</v>
      </c>
      <c r="E197" s="368" t="s">
        <v>7</v>
      </c>
      <c r="F197" s="386">
        <f>'prévision 2017'!I199</f>
        <v>2000000</v>
      </c>
      <c r="G197" s="386">
        <f>'prévision 2017'!H199</f>
        <v>291750</v>
      </c>
      <c r="H197" s="397">
        <f>'prévision 2017'!G199</f>
        <v>2000000</v>
      </c>
    </row>
    <row r="198" spans="1:8" ht="30" customHeight="1">
      <c r="A198" s="640" t="s">
        <v>44</v>
      </c>
      <c r="B198" s="411" t="s">
        <v>364</v>
      </c>
      <c r="C198" s="384" t="s">
        <v>470</v>
      </c>
      <c r="D198" s="365">
        <v>6122</v>
      </c>
      <c r="E198" s="389" t="s">
        <v>582</v>
      </c>
      <c r="F198" s="386">
        <f>'prévision 2017'!I200</f>
        <v>1000000</v>
      </c>
      <c r="G198" s="386">
        <f>'prévision 2017'!H200</f>
        <v>0</v>
      </c>
      <c r="H198" s="397">
        <f>'prévision 2017'!G200</f>
        <v>1000000</v>
      </c>
    </row>
    <row r="199" spans="1:8" ht="30" customHeight="1">
      <c r="A199" s="640" t="s">
        <v>44</v>
      </c>
      <c r="B199" s="411" t="s">
        <v>364</v>
      </c>
      <c r="C199" s="384" t="s">
        <v>470</v>
      </c>
      <c r="D199" s="365">
        <v>6175</v>
      </c>
      <c r="E199" s="368" t="s">
        <v>13</v>
      </c>
      <c r="F199" s="386">
        <f>'prévision 2017'!I201</f>
        <v>3000000</v>
      </c>
      <c r="G199" s="386">
        <f>'prévision 2017'!H201</f>
        <v>3000000</v>
      </c>
      <c r="H199" s="397">
        <f>'prévision 2017'!G201</f>
        <v>3000000</v>
      </c>
    </row>
    <row r="200" spans="1:8" ht="30" customHeight="1">
      <c r="A200" s="640" t="s">
        <v>44</v>
      </c>
      <c r="B200" s="411" t="s">
        <v>364</v>
      </c>
      <c r="C200" s="384" t="s">
        <v>470</v>
      </c>
      <c r="D200" s="365">
        <v>6432</v>
      </c>
      <c r="E200" s="368" t="s">
        <v>41</v>
      </c>
      <c r="F200" s="386">
        <f>'prévision 2017'!I202</f>
        <v>20000000</v>
      </c>
      <c r="G200" s="386">
        <f>'prévision 2017'!H202</f>
        <v>18061500</v>
      </c>
      <c r="H200" s="397">
        <f>'prévision 2017'!G202</f>
        <v>20000000</v>
      </c>
    </row>
    <row r="201" spans="1:8" ht="30" customHeight="1">
      <c r="A201" s="640" t="s">
        <v>44</v>
      </c>
      <c r="B201" s="411" t="s">
        <v>364</v>
      </c>
      <c r="C201" s="384" t="s">
        <v>470</v>
      </c>
      <c r="D201" s="379" t="s">
        <v>463</v>
      </c>
      <c r="F201" s="520">
        <f>SUM(F196:F200)</f>
        <v>170086040</v>
      </c>
      <c r="G201" s="520">
        <f>SUM(G196:G200)</f>
        <v>179682264.42999998</v>
      </c>
      <c r="H201" s="166">
        <f>SUM(H196:H200)</f>
        <v>170086040</v>
      </c>
    </row>
    <row r="202" spans="1:7" ht="30" customHeight="1">
      <c r="A202" s="640" t="s">
        <v>44</v>
      </c>
      <c r="B202" s="411" t="s">
        <v>365</v>
      </c>
      <c r="C202" s="410" t="s">
        <v>66</v>
      </c>
      <c r="F202" s="386"/>
      <c r="G202" s="596"/>
    </row>
    <row r="203" spans="1:8" ht="30" customHeight="1">
      <c r="A203" s="640" t="s">
        <v>44</v>
      </c>
      <c r="B203" s="405" t="s">
        <v>365</v>
      </c>
      <c r="C203" s="384" t="s">
        <v>470</v>
      </c>
      <c r="D203" s="365">
        <v>6611</v>
      </c>
      <c r="E203" s="368" t="s">
        <v>6</v>
      </c>
      <c r="F203" s="386">
        <f>'prévision 2017'!I205</f>
        <v>23537396</v>
      </c>
      <c r="G203" s="386">
        <f>'prévision 2017'!H205</f>
        <v>13302866.120000003</v>
      </c>
      <c r="H203" s="397">
        <f>'prévision 2017'!G205</f>
        <v>23537396</v>
      </c>
    </row>
    <row r="204" spans="1:8" ht="30" customHeight="1">
      <c r="A204" s="640" t="s">
        <v>44</v>
      </c>
      <c r="B204" s="411" t="s">
        <v>365</v>
      </c>
      <c r="C204" s="384" t="s">
        <v>470</v>
      </c>
      <c r="D204" s="365">
        <v>60100</v>
      </c>
      <c r="E204" s="368" t="s">
        <v>7</v>
      </c>
      <c r="F204" s="386">
        <f>'prévision 2017'!I206</f>
        <v>987000</v>
      </c>
      <c r="G204" s="386">
        <f>'prévision 2017'!H206</f>
        <v>0</v>
      </c>
      <c r="H204" s="397">
        <f>'prévision 2017'!G206</f>
        <v>987000</v>
      </c>
    </row>
    <row r="205" spans="1:8" ht="30" customHeight="1">
      <c r="A205" s="640" t="s">
        <v>44</v>
      </c>
      <c r="B205" s="411" t="s">
        <v>365</v>
      </c>
      <c r="C205" s="384" t="s">
        <v>470</v>
      </c>
      <c r="D205" s="365">
        <v>60101</v>
      </c>
      <c r="E205" s="368" t="s">
        <v>255</v>
      </c>
      <c r="F205" s="386">
        <f>'prévision 2017'!I207</f>
        <v>0</v>
      </c>
      <c r="G205" s="386">
        <f>'prévision 2017'!H207</f>
        <v>0</v>
      </c>
      <c r="H205" s="397">
        <f>'prévision 2017'!G207</f>
        <v>0</v>
      </c>
    </row>
    <row r="206" spans="1:8" ht="30" customHeight="1">
      <c r="A206" s="640" t="s">
        <v>44</v>
      </c>
      <c r="B206" s="411" t="s">
        <v>365</v>
      </c>
      <c r="C206" s="384" t="s">
        <v>470</v>
      </c>
      <c r="D206" s="365">
        <v>6122</v>
      </c>
      <c r="E206" s="389" t="s">
        <v>582</v>
      </c>
      <c r="F206" s="386">
        <f>'prévision 2017'!I208</f>
        <v>789600</v>
      </c>
      <c r="G206" s="386">
        <f>'prévision 2017'!H208</f>
        <v>0</v>
      </c>
      <c r="H206" s="397">
        <f>'prévision 2017'!G208</f>
        <v>789600</v>
      </c>
    </row>
    <row r="207" spans="1:8" ht="30" customHeight="1">
      <c r="A207" s="640" t="s">
        <v>44</v>
      </c>
      <c r="B207" s="411" t="s">
        <v>365</v>
      </c>
      <c r="C207" s="384" t="s">
        <v>470</v>
      </c>
      <c r="D207" s="365">
        <v>6175</v>
      </c>
      <c r="E207" s="368" t="s">
        <v>13</v>
      </c>
      <c r="F207" s="386">
        <f>'prévision 2017'!I209</f>
        <v>0</v>
      </c>
      <c r="G207" s="386">
        <f>'prévision 2017'!H209</f>
        <v>0</v>
      </c>
      <c r="H207" s="397">
        <f>'prévision 2017'!G209</f>
        <v>0</v>
      </c>
    </row>
    <row r="208" spans="1:8" ht="30" customHeight="1">
      <c r="A208" s="640" t="s">
        <v>44</v>
      </c>
      <c r="B208" s="411" t="s">
        <v>365</v>
      </c>
      <c r="C208" s="384" t="s">
        <v>470</v>
      </c>
      <c r="D208" s="379" t="s">
        <v>463</v>
      </c>
      <c r="F208" s="520">
        <f>SUM(F203:F207)</f>
        <v>25313996</v>
      </c>
      <c r="G208" s="520">
        <f>SUM(G203:G207)</f>
        <v>13302866.120000003</v>
      </c>
      <c r="H208" s="166">
        <f>SUM(H203:H207)</f>
        <v>25313996</v>
      </c>
    </row>
    <row r="209" spans="1:7" ht="30" customHeight="1">
      <c r="A209" s="640" t="s">
        <v>44</v>
      </c>
      <c r="B209" s="405" t="s">
        <v>366</v>
      </c>
      <c r="C209" s="410" t="s">
        <v>46</v>
      </c>
      <c r="D209" s="379"/>
      <c r="F209" s="386"/>
      <c r="G209" s="596"/>
    </row>
    <row r="210" spans="1:8" ht="30" customHeight="1">
      <c r="A210" s="640" t="s">
        <v>44</v>
      </c>
      <c r="B210" s="405" t="s">
        <v>366</v>
      </c>
      <c r="C210" s="384" t="s">
        <v>471</v>
      </c>
      <c r="D210" s="365">
        <v>6611</v>
      </c>
      <c r="E210" s="368" t="s">
        <v>6</v>
      </c>
      <c r="F210" s="386">
        <f>'prévision 2017'!I212</f>
        <v>7280800</v>
      </c>
      <c r="G210" s="386">
        <f>'prévision 2017'!H212</f>
        <v>10165267.459999999</v>
      </c>
      <c r="H210" s="397">
        <f>'prévision 2017'!G212</f>
        <v>7280800</v>
      </c>
    </row>
    <row r="211" spans="1:8" ht="30" customHeight="1">
      <c r="A211" s="640" t="s">
        <v>44</v>
      </c>
      <c r="B211" s="411" t="s">
        <v>366</v>
      </c>
      <c r="C211" s="384" t="s">
        <v>471</v>
      </c>
      <c r="D211" s="365">
        <v>60100</v>
      </c>
      <c r="E211" s="368" t="s">
        <v>47</v>
      </c>
      <c r="F211" s="386">
        <f>'prévision 2017'!I213</f>
        <v>968247</v>
      </c>
      <c r="G211" s="386">
        <f>'prévision 2017'!H213</f>
        <v>484110</v>
      </c>
      <c r="H211" s="397">
        <f>'prévision 2017'!G213</f>
        <v>968247</v>
      </c>
    </row>
    <row r="212" spans="1:8" ht="30" customHeight="1">
      <c r="A212" s="640" t="s">
        <v>44</v>
      </c>
      <c r="B212" s="411" t="s">
        <v>366</v>
      </c>
      <c r="C212" s="384" t="s">
        <v>471</v>
      </c>
      <c r="D212" s="365">
        <v>6122</v>
      </c>
      <c r="E212" s="389" t="s">
        <v>582</v>
      </c>
      <c r="F212" s="386">
        <f>'prévision 2017'!I214</f>
        <v>870534</v>
      </c>
      <c r="G212" s="386">
        <f>'prévision 2017'!H214</f>
        <v>0</v>
      </c>
      <c r="H212" s="397">
        <f>'prévision 2017'!G214</f>
        <v>870534</v>
      </c>
    </row>
    <row r="213" spans="1:8" ht="30" customHeight="1">
      <c r="A213" s="640" t="s">
        <v>44</v>
      </c>
      <c r="B213" s="411" t="s">
        <v>366</v>
      </c>
      <c r="C213" s="384" t="s">
        <v>471</v>
      </c>
      <c r="D213" s="365">
        <v>6112</v>
      </c>
      <c r="E213" s="368" t="s">
        <v>48</v>
      </c>
      <c r="F213" s="386">
        <f>'prévision 2017'!I215</f>
        <v>0</v>
      </c>
      <c r="G213" s="386">
        <f>'prévision 2017'!H215</f>
        <v>0</v>
      </c>
      <c r="H213" s="397">
        <f>'prévision 2017'!G215</f>
        <v>0</v>
      </c>
    </row>
    <row r="214" spans="1:8" ht="30" customHeight="1">
      <c r="A214" s="640" t="s">
        <v>44</v>
      </c>
      <c r="B214" s="411" t="s">
        <v>366</v>
      </c>
      <c r="C214" s="384" t="s">
        <v>471</v>
      </c>
      <c r="D214" s="365">
        <v>6175</v>
      </c>
      <c r="E214" s="368" t="s">
        <v>49</v>
      </c>
      <c r="F214" s="386">
        <f>'prévision 2017'!I216</f>
        <v>800000</v>
      </c>
      <c r="G214" s="386">
        <f>'prévision 2017'!H216</f>
        <v>0</v>
      </c>
      <c r="H214" s="397">
        <f>'prévision 2017'!G216</f>
        <v>800000</v>
      </c>
    </row>
    <row r="215" spans="1:8" ht="30" customHeight="1">
      <c r="A215" s="640" t="s">
        <v>44</v>
      </c>
      <c r="B215" s="411" t="s">
        <v>366</v>
      </c>
      <c r="C215" s="384" t="s">
        <v>471</v>
      </c>
      <c r="D215" s="379" t="s">
        <v>463</v>
      </c>
      <c r="F215" s="520">
        <f>SUM(F210:F214)</f>
        <v>9919581</v>
      </c>
      <c r="G215" s="520">
        <f>SUM(G210:G214)</f>
        <v>10649377.459999999</v>
      </c>
      <c r="H215" s="166">
        <f>SUM(H210:H214)</f>
        <v>9919581</v>
      </c>
    </row>
    <row r="216" spans="1:7" ht="30" customHeight="1">
      <c r="A216" s="640" t="s">
        <v>44</v>
      </c>
      <c r="B216" s="405" t="s">
        <v>367</v>
      </c>
      <c r="C216" s="413" t="s">
        <v>50</v>
      </c>
      <c r="F216" s="386"/>
      <c r="G216" s="596"/>
    </row>
    <row r="217" spans="1:8" ht="30" customHeight="1">
      <c r="A217" s="640" t="s">
        <v>44</v>
      </c>
      <c r="B217" s="405" t="s">
        <v>367</v>
      </c>
      <c r="C217" s="384" t="s">
        <v>472</v>
      </c>
      <c r="D217" s="365">
        <v>6611</v>
      </c>
      <c r="E217" s="368" t="s">
        <v>6</v>
      </c>
      <c r="F217" s="386">
        <f>'prévision 2017'!I219</f>
        <v>18051200</v>
      </c>
      <c r="G217" s="386">
        <f>'prévision 2017'!H219</f>
        <v>19046066.560000002</v>
      </c>
      <c r="H217" s="397">
        <f>'prévision 2017'!G219</f>
        <v>18051200</v>
      </c>
    </row>
    <row r="218" spans="1:8" ht="30" customHeight="1">
      <c r="A218" s="640" t="s">
        <v>44</v>
      </c>
      <c r="B218" s="411" t="s">
        <v>367</v>
      </c>
      <c r="C218" s="384" t="s">
        <v>472</v>
      </c>
      <c r="D218" s="365">
        <v>60100</v>
      </c>
      <c r="E218" s="368" t="s">
        <v>7</v>
      </c>
      <c r="F218" s="386">
        <f>'prévision 2017'!I220</f>
        <v>968247</v>
      </c>
      <c r="G218" s="386">
        <f>'prévision 2017'!H220</f>
        <v>0</v>
      </c>
      <c r="H218" s="397">
        <f>'prévision 2017'!G220</f>
        <v>968247</v>
      </c>
    </row>
    <row r="219" spans="1:8" ht="30" customHeight="1">
      <c r="A219" s="640" t="s">
        <v>44</v>
      </c>
      <c r="B219" s="411" t="s">
        <v>367</v>
      </c>
      <c r="C219" s="384" t="s">
        <v>472</v>
      </c>
      <c r="D219" s="365">
        <v>6122</v>
      </c>
      <c r="E219" s="389" t="s">
        <v>582</v>
      </c>
      <c r="F219" s="386">
        <f>'prévision 2017'!I221</f>
        <v>870534</v>
      </c>
      <c r="G219" s="386">
        <f>'prévision 2017'!H221</f>
        <v>0</v>
      </c>
      <c r="H219" s="397">
        <f>'prévision 2017'!G221</f>
        <v>870534</v>
      </c>
    </row>
    <row r="220" spans="1:8" ht="30" customHeight="1">
      <c r="A220" s="640" t="s">
        <v>44</v>
      </c>
      <c r="B220" s="411" t="s">
        <v>367</v>
      </c>
      <c r="C220" s="384" t="s">
        <v>472</v>
      </c>
      <c r="D220" s="365">
        <v>6112</v>
      </c>
      <c r="E220" s="368" t="s">
        <v>12</v>
      </c>
      <c r="F220" s="386">
        <f>'prévision 2017'!I222</f>
        <v>0</v>
      </c>
      <c r="G220" s="386">
        <f>'prévision 2017'!H222</f>
        <v>0</v>
      </c>
      <c r="H220" s="397">
        <f>'prévision 2017'!G222</f>
        <v>0</v>
      </c>
    </row>
    <row r="221" spans="1:8" ht="30" customHeight="1">
      <c r="A221" s="640" t="s">
        <v>44</v>
      </c>
      <c r="B221" s="411" t="s">
        <v>367</v>
      </c>
      <c r="C221" s="384" t="s">
        <v>472</v>
      </c>
      <c r="D221" s="379" t="s">
        <v>463</v>
      </c>
      <c r="F221" s="520">
        <f>SUM(F217:F220)</f>
        <v>19889981</v>
      </c>
      <c r="G221" s="520">
        <f>SUM(G217:G220)</f>
        <v>19046066.560000002</v>
      </c>
      <c r="H221" s="166">
        <f>SUM(H217:H220)</f>
        <v>19889981</v>
      </c>
    </row>
    <row r="222" spans="1:7" ht="30" customHeight="1">
      <c r="A222" s="640" t="s">
        <v>44</v>
      </c>
      <c r="B222" s="405" t="s">
        <v>368</v>
      </c>
      <c r="C222" s="413" t="s">
        <v>51</v>
      </c>
      <c r="F222" s="386"/>
      <c r="G222" s="596"/>
    </row>
    <row r="223" spans="1:8" ht="30" customHeight="1">
      <c r="A223" s="640" t="s">
        <v>44</v>
      </c>
      <c r="B223" s="411" t="s">
        <v>368</v>
      </c>
      <c r="C223" s="384" t="s">
        <v>473</v>
      </c>
      <c r="D223" s="365">
        <v>6611</v>
      </c>
      <c r="E223" s="368" t="s">
        <v>6</v>
      </c>
      <c r="F223" s="386">
        <f>'prévision 2017'!I225</f>
        <v>86755642</v>
      </c>
      <c r="G223" s="386">
        <f>'prévision 2017'!H225</f>
        <v>78515424.28999999</v>
      </c>
      <c r="H223" s="397">
        <f>'prévision 2017'!G225</f>
        <v>86755642</v>
      </c>
    </row>
    <row r="224" spans="1:8" ht="30" customHeight="1">
      <c r="A224" s="640" t="s">
        <v>44</v>
      </c>
      <c r="B224" s="411" t="s">
        <v>368</v>
      </c>
      <c r="C224" s="384" t="s">
        <v>473</v>
      </c>
      <c r="D224" s="365">
        <v>60100</v>
      </c>
      <c r="E224" s="368" t="s">
        <v>7</v>
      </c>
      <c r="F224" s="386">
        <f>'prévision 2017'!I226</f>
        <v>2000000</v>
      </c>
      <c r="G224" s="386">
        <f>'prévision 2017'!H226</f>
        <v>0</v>
      </c>
      <c r="H224" s="397">
        <f>'prévision 2017'!G226</f>
        <v>2000000</v>
      </c>
    </row>
    <row r="225" spans="1:8" ht="30" customHeight="1">
      <c r="A225" s="640" t="s">
        <v>44</v>
      </c>
      <c r="B225" s="411" t="s">
        <v>368</v>
      </c>
      <c r="C225" s="384" t="s">
        <v>473</v>
      </c>
      <c r="D225" s="365">
        <v>6122</v>
      </c>
      <c r="E225" s="389" t="s">
        <v>582</v>
      </c>
      <c r="F225" s="386">
        <f>'prévision 2017'!I227</f>
        <v>987000</v>
      </c>
      <c r="G225" s="386">
        <f>'prévision 2017'!H227</f>
        <v>0</v>
      </c>
      <c r="H225" s="397">
        <f>'prévision 2017'!G227</f>
        <v>987000</v>
      </c>
    </row>
    <row r="226" spans="1:8" ht="30" customHeight="1">
      <c r="A226" s="640" t="s">
        <v>44</v>
      </c>
      <c r="B226" s="411" t="s">
        <v>368</v>
      </c>
      <c r="C226" s="384" t="s">
        <v>473</v>
      </c>
      <c r="D226" s="365">
        <v>6112</v>
      </c>
      <c r="E226" s="368" t="s">
        <v>12</v>
      </c>
      <c r="F226" s="386">
        <f>'prévision 2017'!I228</f>
        <v>0</v>
      </c>
      <c r="G226" s="386">
        <f>'prévision 2017'!H228</f>
        <v>0</v>
      </c>
      <c r="H226" s="397">
        <f>'prévision 2017'!G228</f>
        <v>0</v>
      </c>
    </row>
    <row r="227" spans="1:8" ht="30" customHeight="1">
      <c r="A227" s="640" t="s">
        <v>44</v>
      </c>
      <c r="B227" s="411" t="s">
        <v>368</v>
      </c>
      <c r="C227" s="384" t="s">
        <v>473</v>
      </c>
      <c r="D227" s="379" t="s">
        <v>463</v>
      </c>
      <c r="F227" s="520">
        <f>SUM(F223:F226)</f>
        <v>89742642</v>
      </c>
      <c r="G227" s="520">
        <f>SUM(G223:G226)</f>
        <v>78515424.28999999</v>
      </c>
      <c r="H227" s="166">
        <f>SUM(H223:H226)</f>
        <v>89742642</v>
      </c>
    </row>
    <row r="228" spans="1:7" ht="30" customHeight="1">
      <c r="A228" s="640" t="s">
        <v>44</v>
      </c>
      <c r="B228" s="405" t="s">
        <v>369</v>
      </c>
      <c r="C228" s="413" t="s">
        <v>52</v>
      </c>
      <c r="F228" s="386"/>
      <c r="G228" s="596"/>
    </row>
    <row r="229" spans="1:8" ht="30" customHeight="1">
      <c r="A229" s="640" t="s">
        <v>44</v>
      </c>
      <c r="B229" s="405" t="s">
        <v>369</v>
      </c>
      <c r="C229" s="384" t="s">
        <v>471</v>
      </c>
      <c r="D229" s="365">
        <v>6611</v>
      </c>
      <c r="E229" s="368" t="s">
        <v>6</v>
      </c>
      <c r="F229" s="386">
        <f>'prévision 2017'!I231</f>
        <v>25019760</v>
      </c>
      <c r="G229" s="386">
        <f>'prévision 2017'!H231</f>
        <v>26116068.519999996</v>
      </c>
      <c r="H229" s="397">
        <f>'prévision 2017'!G231</f>
        <v>25019760</v>
      </c>
    </row>
    <row r="230" spans="1:8" ht="30" customHeight="1">
      <c r="A230" s="640" t="s">
        <v>44</v>
      </c>
      <c r="B230" s="411" t="s">
        <v>369</v>
      </c>
      <c r="C230" s="384" t="s">
        <v>471</v>
      </c>
      <c r="D230" s="365">
        <v>60100</v>
      </c>
      <c r="E230" s="368" t="s">
        <v>7</v>
      </c>
      <c r="F230" s="386">
        <f>'prévision 2017'!I232</f>
        <v>968247</v>
      </c>
      <c r="G230" s="386">
        <f>'prévision 2017'!H232</f>
        <v>0</v>
      </c>
      <c r="H230" s="397">
        <f>'prévision 2017'!G232</f>
        <v>968247</v>
      </c>
    </row>
    <row r="231" spans="1:8" ht="30" customHeight="1">
      <c r="A231" s="640" t="s">
        <v>44</v>
      </c>
      <c r="B231" s="411" t="s">
        <v>369</v>
      </c>
      <c r="C231" s="384" t="s">
        <v>471</v>
      </c>
      <c r="D231" s="365">
        <v>6122</v>
      </c>
      <c r="E231" s="389" t="s">
        <v>582</v>
      </c>
      <c r="F231" s="386">
        <f>'prévision 2017'!I233</f>
        <v>871422.3</v>
      </c>
      <c r="G231" s="386">
        <f>'prévision 2017'!H233</f>
        <v>0</v>
      </c>
      <c r="H231" s="397">
        <f>'prévision 2017'!G233</f>
        <v>871422.3</v>
      </c>
    </row>
    <row r="232" spans="1:8" ht="30" customHeight="1">
      <c r="A232" s="640" t="s">
        <v>44</v>
      </c>
      <c r="B232" s="411" t="s">
        <v>369</v>
      </c>
      <c r="C232" s="384" t="s">
        <v>471</v>
      </c>
      <c r="D232" s="365">
        <v>6112</v>
      </c>
      <c r="E232" s="368" t="s">
        <v>12</v>
      </c>
      <c r="F232" s="386">
        <f>'prévision 2017'!I234</f>
        <v>0</v>
      </c>
      <c r="G232" s="386">
        <f>'prévision 2017'!H234</f>
        <v>0</v>
      </c>
      <c r="H232" s="397">
        <f>'prévision 2017'!G234</f>
        <v>0</v>
      </c>
    </row>
    <row r="233" spans="1:8" ht="30" customHeight="1">
      <c r="A233" s="640" t="s">
        <v>44</v>
      </c>
      <c r="B233" s="411" t="s">
        <v>369</v>
      </c>
      <c r="C233" s="384" t="s">
        <v>471</v>
      </c>
      <c r="D233" s="379" t="s">
        <v>463</v>
      </c>
      <c r="F233" s="520">
        <f>SUM(F229:F232)</f>
        <v>26859429.3</v>
      </c>
      <c r="G233" s="520">
        <f>SUM(G229:G232)</f>
        <v>26116068.519999996</v>
      </c>
      <c r="H233" s="166">
        <f>SUM(H229:H232)</f>
        <v>26859429.3</v>
      </c>
    </row>
    <row r="234" spans="1:7" ht="30" customHeight="1">
      <c r="A234" s="640" t="s">
        <v>44</v>
      </c>
      <c r="B234" s="405" t="s">
        <v>370</v>
      </c>
      <c r="C234" s="413" t="s">
        <v>53</v>
      </c>
      <c r="F234" s="386"/>
      <c r="G234" s="596"/>
    </row>
    <row r="235" spans="1:9" ht="30" customHeight="1">
      <c r="A235" s="640" t="s">
        <v>44</v>
      </c>
      <c r="B235" s="405" t="s">
        <v>370</v>
      </c>
      <c r="C235" s="384" t="s">
        <v>470</v>
      </c>
      <c r="D235" s="365">
        <v>6611</v>
      </c>
      <c r="E235" s="368" t="s">
        <v>6</v>
      </c>
      <c r="F235" s="386">
        <f>'prévision 2017'!I237</f>
        <v>25760660</v>
      </c>
      <c r="G235" s="386">
        <f>'prévision 2017'!H237</f>
        <v>25924392.32999999</v>
      </c>
      <c r="H235" s="397">
        <f>'prévision 2017'!G237</f>
        <v>25760660</v>
      </c>
      <c r="I235" s="157">
        <f>G240/F240*100</f>
        <v>93.38536018235874</v>
      </c>
    </row>
    <row r="236" spans="1:8" ht="30" customHeight="1">
      <c r="A236" s="640" t="s">
        <v>44</v>
      </c>
      <c r="B236" s="411" t="s">
        <v>370</v>
      </c>
      <c r="C236" s="384" t="s">
        <v>470</v>
      </c>
      <c r="D236" s="365">
        <v>60100</v>
      </c>
      <c r="E236" s="368" t="s">
        <v>7</v>
      </c>
      <c r="F236" s="386">
        <f>'prévision 2017'!I238</f>
        <v>1000000</v>
      </c>
      <c r="G236" s="386">
        <f>'prévision 2017'!H238</f>
        <v>0</v>
      </c>
      <c r="H236" s="397">
        <f>'prévision 2017'!G238</f>
        <v>1000000</v>
      </c>
    </row>
    <row r="237" spans="1:8" ht="30" customHeight="1">
      <c r="A237" s="640" t="s">
        <v>44</v>
      </c>
      <c r="B237" s="411" t="s">
        <v>370</v>
      </c>
      <c r="C237" s="384" t="s">
        <v>470</v>
      </c>
      <c r="D237" s="365">
        <v>6122</v>
      </c>
      <c r="E237" s="389" t="s">
        <v>582</v>
      </c>
      <c r="F237" s="386">
        <f>'prévision 2017'!I239</f>
        <v>1000000</v>
      </c>
      <c r="G237" s="386">
        <f>'prévision 2017'!H239</f>
        <v>0</v>
      </c>
      <c r="H237" s="397">
        <f>'prévision 2017'!G239</f>
        <v>1000000</v>
      </c>
    </row>
    <row r="238" spans="1:8" ht="30" customHeight="1">
      <c r="A238" s="641" t="s">
        <v>44</v>
      </c>
      <c r="B238" s="411" t="s">
        <v>370</v>
      </c>
      <c r="C238" s="384" t="s">
        <v>470</v>
      </c>
      <c r="D238" s="365">
        <v>6173</v>
      </c>
      <c r="E238" s="368" t="s">
        <v>19</v>
      </c>
      <c r="F238" s="386">
        <f>'prévision 2017'!I240</f>
        <v>0</v>
      </c>
      <c r="G238" s="386">
        <f>'prévision 2017'!H240</f>
        <v>0</v>
      </c>
      <c r="H238" s="397">
        <f>'prévision 2017'!G240</f>
        <v>0</v>
      </c>
    </row>
    <row r="239" spans="1:8" ht="30" customHeight="1">
      <c r="A239" s="640" t="s">
        <v>44</v>
      </c>
      <c r="B239" s="411" t="s">
        <v>370</v>
      </c>
      <c r="C239" s="384" t="s">
        <v>470</v>
      </c>
      <c r="D239" s="365">
        <v>6175</v>
      </c>
      <c r="E239" s="368" t="s">
        <v>49</v>
      </c>
      <c r="F239" s="386">
        <f>'prévision 2017'!I241</f>
        <v>0</v>
      </c>
      <c r="G239" s="386">
        <f>'prévision 2017'!H241</f>
        <v>0</v>
      </c>
      <c r="H239" s="397">
        <f>'prévision 2017'!G241</f>
        <v>0</v>
      </c>
    </row>
    <row r="240" spans="1:8" ht="30" customHeight="1">
      <c r="A240" s="640" t="s">
        <v>44</v>
      </c>
      <c r="B240" s="411" t="s">
        <v>370</v>
      </c>
      <c r="C240" s="384" t="s">
        <v>470</v>
      </c>
      <c r="D240" s="379" t="s">
        <v>463</v>
      </c>
      <c r="F240" s="520">
        <f>SUM(F235:F239)</f>
        <v>27760660</v>
      </c>
      <c r="G240" s="520">
        <f>SUM(G235:G239)</f>
        <v>25924392.32999999</v>
      </c>
      <c r="H240" s="166">
        <f>SUM(H235:H239)</f>
        <v>27760660</v>
      </c>
    </row>
    <row r="241" spans="1:7" ht="30" customHeight="1">
      <c r="A241" s="640" t="s">
        <v>44</v>
      </c>
      <c r="B241" s="405" t="s">
        <v>371</v>
      </c>
      <c r="C241" s="413" t="s">
        <v>54</v>
      </c>
      <c r="F241" s="386"/>
      <c r="G241" s="596"/>
    </row>
    <row r="242" spans="1:8" ht="30" customHeight="1">
      <c r="A242" s="640" t="s">
        <v>44</v>
      </c>
      <c r="B242" s="405" t="s">
        <v>371</v>
      </c>
      <c r="C242" s="384" t="s">
        <v>473</v>
      </c>
      <c r="D242" s="365">
        <v>60100</v>
      </c>
      <c r="E242" s="368" t="s">
        <v>7</v>
      </c>
      <c r="F242" s="386">
        <f>'prévision 2017'!I244</f>
        <v>1500000</v>
      </c>
      <c r="G242" s="386">
        <f>'prévision 2017'!H244</f>
        <v>0</v>
      </c>
      <c r="H242" s="397">
        <f>'prévision 2017'!G244</f>
        <v>1500000</v>
      </c>
    </row>
    <row r="243" spans="1:8" ht="30" customHeight="1">
      <c r="A243" s="640" t="s">
        <v>44</v>
      </c>
      <c r="B243" s="411" t="s">
        <v>371</v>
      </c>
      <c r="C243" s="384" t="s">
        <v>473</v>
      </c>
      <c r="D243" s="365">
        <v>6122</v>
      </c>
      <c r="E243" s="389" t="s">
        <v>582</v>
      </c>
      <c r="F243" s="386">
        <f>'prévision 2017'!I245</f>
        <v>888300</v>
      </c>
      <c r="G243" s="386">
        <f>'prévision 2017'!H245</f>
        <v>0</v>
      </c>
      <c r="H243" s="397">
        <f>'prévision 2017'!G245</f>
        <v>888300</v>
      </c>
    </row>
    <row r="244" spans="1:8" ht="30" customHeight="1">
      <c r="A244" s="640" t="s">
        <v>44</v>
      </c>
      <c r="B244" s="411" t="s">
        <v>371</v>
      </c>
      <c r="C244" s="384" t="s">
        <v>473</v>
      </c>
      <c r="D244" s="365">
        <v>6112</v>
      </c>
      <c r="E244" s="368" t="s">
        <v>12</v>
      </c>
      <c r="F244" s="386">
        <f>'prévision 2017'!I246</f>
        <v>0</v>
      </c>
      <c r="G244" s="386">
        <f>'prévision 2017'!H246</f>
        <v>0</v>
      </c>
      <c r="H244" s="397">
        <f>'prévision 2017'!G246</f>
        <v>0</v>
      </c>
    </row>
    <row r="245" spans="1:8" ht="30" customHeight="1">
      <c r="A245" s="640" t="s">
        <v>44</v>
      </c>
      <c r="B245" s="411" t="s">
        <v>371</v>
      </c>
      <c r="C245" s="412" t="s">
        <v>473</v>
      </c>
      <c r="D245" s="379" t="s">
        <v>463</v>
      </c>
      <c r="F245" s="520">
        <f>SUM(F242:F244)</f>
        <v>2388300</v>
      </c>
      <c r="G245" s="520">
        <f>SUM(G242:G244)</f>
        <v>0</v>
      </c>
      <c r="H245" s="166">
        <f>SUM(H242:H244)</f>
        <v>2388300</v>
      </c>
    </row>
    <row r="246" spans="1:7" ht="30" customHeight="1">
      <c r="A246" s="640" t="s">
        <v>44</v>
      </c>
      <c r="B246" s="405" t="s">
        <v>372</v>
      </c>
      <c r="C246" s="413" t="s">
        <v>55</v>
      </c>
      <c r="F246" s="386"/>
      <c r="G246" s="596"/>
    </row>
    <row r="247" spans="1:8" ht="30" customHeight="1">
      <c r="A247" s="640" t="s">
        <v>44</v>
      </c>
      <c r="B247" s="405" t="s">
        <v>372</v>
      </c>
      <c r="C247" s="384" t="s">
        <v>474</v>
      </c>
      <c r="D247" s="365">
        <v>6311</v>
      </c>
      <c r="E247" s="368" t="s">
        <v>271</v>
      </c>
      <c r="F247" s="386">
        <f>'prévision 2017'!I249</f>
        <v>60000000</v>
      </c>
      <c r="G247" s="386">
        <f>'prévision 2017'!H249</f>
        <v>45000000</v>
      </c>
      <c r="H247" s="397">
        <f>'prévision 2017'!G249</f>
        <v>60000000</v>
      </c>
    </row>
    <row r="248" spans="1:8" ht="30" customHeight="1">
      <c r="A248" s="640" t="s">
        <v>44</v>
      </c>
      <c r="B248" s="411" t="s">
        <v>372</v>
      </c>
      <c r="C248" s="384" t="s">
        <v>474</v>
      </c>
      <c r="D248" s="365">
        <v>6313</v>
      </c>
      <c r="E248" s="368" t="s">
        <v>254</v>
      </c>
      <c r="F248" s="386">
        <f>'prévision 2017'!I250</f>
        <v>120000000</v>
      </c>
      <c r="G248" s="386">
        <f>'prévision 2017'!H250</f>
        <v>90000000</v>
      </c>
      <c r="H248" s="397">
        <f>'prévision 2017'!G250</f>
        <v>120000000</v>
      </c>
    </row>
    <row r="249" spans="1:8" ht="30" customHeight="1">
      <c r="A249" s="640" t="s">
        <v>44</v>
      </c>
      <c r="B249" s="411" t="s">
        <v>372</v>
      </c>
      <c r="C249" s="384" t="s">
        <v>474</v>
      </c>
      <c r="D249" s="365">
        <v>6312</v>
      </c>
      <c r="E249" s="368" t="s">
        <v>270</v>
      </c>
      <c r="F249" s="386">
        <f>'prévision 2017'!I251</f>
        <v>558601296</v>
      </c>
      <c r="G249" s="386">
        <f>'prévision 2017'!H251</f>
        <v>519478337</v>
      </c>
      <c r="H249" s="397">
        <f>'prévision 2017'!G251</f>
        <v>558601296</v>
      </c>
    </row>
    <row r="250" spans="1:8" ht="30" customHeight="1">
      <c r="A250" s="640" t="s">
        <v>44</v>
      </c>
      <c r="B250" s="411" t="s">
        <v>372</v>
      </c>
      <c r="C250" s="384" t="s">
        <v>474</v>
      </c>
      <c r="D250" s="365">
        <v>2163</v>
      </c>
      <c r="E250" s="368" t="s">
        <v>656</v>
      </c>
      <c r="F250" s="386">
        <f>'prévision 2017'!I252</f>
        <v>600000000</v>
      </c>
      <c r="G250" s="386">
        <f>'prévision 2017'!H252</f>
        <v>0</v>
      </c>
      <c r="H250" s="386">
        <f>'prévision 2017'!G252</f>
        <v>600000000</v>
      </c>
    </row>
    <row r="251" spans="1:8" ht="30" customHeight="1">
      <c r="A251" s="640" t="s">
        <v>44</v>
      </c>
      <c r="B251" s="411" t="s">
        <v>372</v>
      </c>
      <c r="C251" s="412" t="s">
        <v>474</v>
      </c>
      <c r="D251" s="379" t="s">
        <v>463</v>
      </c>
      <c r="F251" s="520">
        <f>SUM(F247:F250)</f>
        <v>1338601296</v>
      </c>
      <c r="G251" s="520">
        <f>SUM(G247:G250)</f>
        <v>654478337</v>
      </c>
      <c r="H251" s="166">
        <f>SUM(H247:H250)</f>
        <v>1338601296</v>
      </c>
    </row>
    <row r="252" spans="1:7" ht="30" customHeight="1">
      <c r="A252" s="640" t="s">
        <v>44</v>
      </c>
      <c r="B252" s="405" t="s">
        <v>373</v>
      </c>
      <c r="C252" s="413" t="s">
        <v>56</v>
      </c>
      <c r="F252" s="386"/>
      <c r="G252" s="596"/>
    </row>
    <row r="253" spans="1:8" ht="30" customHeight="1">
      <c r="A253" s="640" t="s">
        <v>44</v>
      </c>
      <c r="B253" s="405" t="s">
        <v>373</v>
      </c>
      <c r="C253" s="384" t="s">
        <v>474</v>
      </c>
      <c r="D253" s="365">
        <v>6311</v>
      </c>
      <c r="E253" s="368" t="s">
        <v>271</v>
      </c>
      <c r="F253" s="386">
        <f>'prévision 2017'!I255</f>
        <v>6000000</v>
      </c>
      <c r="G253" s="386">
        <f>'prévision 2017'!H255</f>
        <v>0</v>
      </c>
      <c r="H253" s="397">
        <f>'prévision 2017'!G255</f>
        <v>6000000</v>
      </c>
    </row>
    <row r="254" spans="1:8" ht="30" customHeight="1">
      <c r="A254" s="640" t="s">
        <v>44</v>
      </c>
      <c r="B254" s="411" t="s">
        <v>373</v>
      </c>
      <c r="C254" s="384" t="s">
        <v>474</v>
      </c>
      <c r="D254" s="365">
        <v>6312</v>
      </c>
      <c r="E254" s="368" t="s">
        <v>272</v>
      </c>
      <c r="F254" s="386">
        <f>'prévision 2017'!I256</f>
        <v>295947144</v>
      </c>
      <c r="G254" s="386">
        <f>'prévision 2017'!H256</f>
        <v>259791944.44</v>
      </c>
      <c r="H254" s="397">
        <f>'prévision 2017'!G256</f>
        <v>295947144</v>
      </c>
    </row>
    <row r="255" spans="1:8" ht="30" customHeight="1">
      <c r="A255" s="640" t="s">
        <v>44</v>
      </c>
      <c r="B255" s="411" t="s">
        <v>373</v>
      </c>
      <c r="C255" s="412" t="s">
        <v>474</v>
      </c>
      <c r="D255" s="379" t="s">
        <v>463</v>
      </c>
      <c r="F255" s="520">
        <f>SUM(F253:F254)</f>
        <v>301947144</v>
      </c>
      <c r="G255" s="520">
        <f>SUM(G253:G254)</f>
        <v>259791944.44</v>
      </c>
      <c r="H255" s="166">
        <f>SUM(H253:H254)</f>
        <v>301947144</v>
      </c>
    </row>
    <row r="256" spans="1:7" ht="30" customHeight="1">
      <c r="A256" s="640" t="s">
        <v>44</v>
      </c>
      <c r="B256" s="405" t="s">
        <v>374</v>
      </c>
      <c r="C256" s="413" t="s">
        <v>57</v>
      </c>
      <c r="F256" s="386"/>
      <c r="G256" s="596"/>
    </row>
    <row r="257" spans="1:8" ht="30" customHeight="1">
      <c r="A257" s="640" t="s">
        <v>44</v>
      </c>
      <c r="B257" s="405" t="s">
        <v>374</v>
      </c>
      <c r="C257" s="419" t="s">
        <v>474</v>
      </c>
      <c r="D257" s="365">
        <v>6311</v>
      </c>
      <c r="E257" s="368" t="s">
        <v>271</v>
      </c>
      <c r="F257" s="386">
        <f>'prévision 2017'!I259</f>
        <v>5000000</v>
      </c>
      <c r="G257" s="386">
        <f>'prévision 2017'!H259</f>
        <v>0</v>
      </c>
      <c r="H257" s="397">
        <f>'prévision 2017'!G259</f>
        <v>5000000</v>
      </c>
    </row>
    <row r="258" spans="1:8" ht="30" customHeight="1">
      <c r="A258" s="640" t="s">
        <v>44</v>
      </c>
      <c r="B258" s="411" t="s">
        <v>374</v>
      </c>
      <c r="C258" s="420" t="s">
        <v>474</v>
      </c>
      <c r="D258" s="365">
        <v>6312</v>
      </c>
      <c r="E258" s="368" t="s">
        <v>272</v>
      </c>
      <c r="F258" s="386">
        <f>'prévision 2017'!I260</f>
        <v>128216772</v>
      </c>
      <c r="G258" s="386">
        <f>'prévision 2017'!H260</f>
        <v>106447970.88000001</v>
      </c>
      <c r="H258" s="397">
        <f>'prévision 2017'!G260</f>
        <v>128216772</v>
      </c>
    </row>
    <row r="259" spans="1:8" ht="30" customHeight="1">
      <c r="A259" s="640" t="s">
        <v>44</v>
      </c>
      <c r="B259" s="411" t="s">
        <v>374</v>
      </c>
      <c r="C259" s="420" t="s">
        <v>474</v>
      </c>
      <c r="D259" s="379" t="s">
        <v>463</v>
      </c>
      <c r="F259" s="520">
        <f>SUM(F257:F258)</f>
        <v>133216772</v>
      </c>
      <c r="G259" s="520">
        <f>SUM(G257:G258)</f>
        <v>106447970.88000001</v>
      </c>
      <c r="H259" s="166">
        <f>SUM(H257:H258)</f>
        <v>133216772</v>
      </c>
    </row>
    <row r="260" spans="1:7" ht="30" customHeight="1">
      <c r="A260" s="640" t="s">
        <v>44</v>
      </c>
      <c r="B260" s="405" t="s">
        <v>375</v>
      </c>
      <c r="C260" s="413" t="s">
        <v>289</v>
      </c>
      <c r="F260" s="386"/>
      <c r="G260" s="596"/>
    </row>
    <row r="261" spans="1:8" ht="30" customHeight="1">
      <c r="A261" s="640" t="s">
        <v>44</v>
      </c>
      <c r="B261" s="405" t="s">
        <v>375</v>
      </c>
      <c r="C261" s="384" t="s">
        <v>474</v>
      </c>
      <c r="D261" s="365">
        <v>6311</v>
      </c>
      <c r="E261" s="368" t="s">
        <v>271</v>
      </c>
      <c r="F261" s="386">
        <f>'prévision 2017'!I263</f>
        <v>6000000</v>
      </c>
      <c r="G261" s="386">
        <f>'prévision 2017'!H263</f>
        <v>0</v>
      </c>
      <c r="H261" s="397">
        <f>'prévision 2017'!G263</f>
        <v>6000000</v>
      </c>
    </row>
    <row r="262" spans="1:8" ht="30" customHeight="1">
      <c r="A262" s="640" t="s">
        <v>44</v>
      </c>
      <c r="B262" s="411" t="s">
        <v>375</v>
      </c>
      <c r="C262" s="384" t="s">
        <v>474</v>
      </c>
      <c r="D262" s="365">
        <v>6312</v>
      </c>
      <c r="E262" s="368" t="s">
        <v>272</v>
      </c>
      <c r="F262" s="386">
        <f>'prévision 2017'!I264</f>
        <v>0</v>
      </c>
      <c r="G262" s="386">
        <f>'prévision 2017'!H264</f>
        <v>2194133.7199999997</v>
      </c>
      <c r="H262" s="397">
        <f>'prévision 2017'!G264</f>
        <v>0</v>
      </c>
    </row>
    <row r="263" spans="1:8" ht="30" customHeight="1">
      <c r="A263" s="640" t="s">
        <v>44</v>
      </c>
      <c r="B263" s="405" t="s">
        <v>375</v>
      </c>
      <c r="C263" s="412" t="s">
        <v>474</v>
      </c>
      <c r="D263" s="379" t="s">
        <v>463</v>
      </c>
      <c r="F263" s="520">
        <f>SUM(F261:F262)</f>
        <v>6000000</v>
      </c>
      <c r="G263" s="520">
        <f>SUM(G261:G262)</f>
        <v>2194133.7199999997</v>
      </c>
      <c r="H263" s="166">
        <f>SUM(H261:H262)</f>
        <v>6000000</v>
      </c>
    </row>
    <row r="264" spans="1:7" ht="30" customHeight="1">
      <c r="A264" s="640" t="s">
        <v>44</v>
      </c>
      <c r="B264" s="405" t="s">
        <v>376</v>
      </c>
      <c r="C264" s="421" t="s">
        <v>290</v>
      </c>
      <c r="F264" s="386"/>
      <c r="G264" s="596"/>
    </row>
    <row r="265" spans="1:8" ht="30" customHeight="1">
      <c r="A265" s="640" t="s">
        <v>44</v>
      </c>
      <c r="B265" s="405" t="s">
        <v>376</v>
      </c>
      <c r="C265" s="384" t="s">
        <v>474</v>
      </c>
      <c r="D265" s="365">
        <v>6311</v>
      </c>
      <c r="E265" s="368" t="s">
        <v>318</v>
      </c>
      <c r="F265" s="386">
        <f>'prévision 2017'!I267</f>
        <v>3000000</v>
      </c>
      <c r="G265" s="386">
        <f>'prévision 2017'!H267</f>
        <v>1500000</v>
      </c>
      <c r="H265" s="397">
        <f>'prévision 2017'!G267</f>
        <v>3000000</v>
      </c>
    </row>
    <row r="266" spans="1:8" ht="30" customHeight="1">
      <c r="A266" s="640" t="s">
        <v>44</v>
      </c>
      <c r="B266" s="411" t="s">
        <v>376</v>
      </c>
      <c r="C266" s="384" t="s">
        <v>474</v>
      </c>
      <c r="D266" s="365">
        <v>6312</v>
      </c>
      <c r="E266" s="368" t="s">
        <v>319</v>
      </c>
      <c r="F266" s="386">
        <f>'prévision 2017'!I268</f>
        <v>0</v>
      </c>
      <c r="G266" s="386">
        <f>'prévision 2017'!H268</f>
        <v>8367566.02</v>
      </c>
      <c r="H266" s="397">
        <f>'prévision 2017'!G268</f>
        <v>0</v>
      </c>
    </row>
    <row r="267" spans="1:8" ht="30" customHeight="1">
      <c r="A267" s="640" t="s">
        <v>44</v>
      </c>
      <c r="B267" s="411" t="s">
        <v>376</v>
      </c>
      <c r="C267" s="412" t="s">
        <v>474</v>
      </c>
      <c r="D267" s="379" t="s">
        <v>463</v>
      </c>
      <c r="F267" s="520">
        <f>SUM(F265:F266)</f>
        <v>3000000</v>
      </c>
      <c r="G267" s="520">
        <f>SUM(G265:G266)</f>
        <v>9867566.02</v>
      </c>
      <c r="H267" s="166">
        <f>SUM(H265:H266)</f>
        <v>3000000</v>
      </c>
    </row>
    <row r="268" spans="1:7" ht="30" customHeight="1">
      <c r="A268" s="640" t="s">
        <v>44</v>
      </c>
      <c r="B268" s="405" t="s">
        <v>377</v>
      </c>
      <c r="C268" s="422" t="s">
        <v>58</v>
      </c>
      <c r="F268" s="386"/>
      <c r="G268" s="596"/>
    </row>
    <row r="269" spans="1:8" ht="30" customHeight="1">
      <c r="A269" s="640" t="s">
        <v>44</v>
      </c>
      <c r="B269" s="405" t="s">
        <v>377</v>
      </c>
      <c r="C269" s="419" t="s">
        <v>473</v>
      </c>
      <c r="D269" s="365">
        <v>6312</v>
      </c>
      <c r="E269" s="368" t="s">
        <v>273</v>
      </c>
      <c r="F269" s="386">
        <f>'prévision 2017'!I271</f>
        <v>35000000</v>
      </c>
      <c r="G269" s="386">
        <f>'prévision 2017'!H271</f>
        <v>0</v>
      </c>
      <c r="H269" s="397">
        <f>'prévision 2017'!G271</f>
        <v>35000000</v>
      </c>
    </row>
    <row r="270" spans="1:8" ht="30" customHeight="1">
      <c r="A270" s="640" t="s">
        <v>44</v>
      </c>
      <c r="B270" s="411" t="s">
        <v>377</v>
      </c>
      <c r="C270" s="382" t="s">
        <v>473</v>
      </c>
      <c r="D270" s="379" t="s">
        <v>463</v>
      </c>
      <c r="F270" s="520">
        <f>SUM(F269)</f>
        <v>35000000</v>
      </c>
      <c r="G270" s="520">
        <f>SUM(G269)</f>
        <v>0</v>
      </c>
      <c r="H270" s="166">
        <f>SUM(H269)</f>
        <v>35000000</v>
      </c>
    </row>
    <row r="271" spans="1:7" ht="30" customHeight="1">
      <c r="A271" s="640" t="s">
        <v>44</v>
      </c>
      <c r="B271" s="405" t="s">
        <v>378</v>
      </c>
      <c r="C271" s="421" t="s">
        <v>59</v>
      </c>
      <c r="F271" s="386"/>
      <c r="G271" s="596"/>
    </row>
    <row r="272" spans="1:8" ht="30" customHeight="1">
      <c r="A272" s="640" t="s">
        <v>44</v>
      </c>
      <c r="B272" s="405" t="s">
        <v>378</v>
      </c>
      <c r="C272" s="384" t="s">
        <v>473</v>
      </c>
      <c r="D272" s="365">
        <v>6312</v>
      </c>
      <c r="E272" s="368" t="s">
        <v>270</v>
      </c>
      <c r="F272" s="386">
        <f>'prévision 2017'!I274</f>
        <v>20000000</v>
      </c>
      <c r="G272" s="386">
        <f>'prévision 2017'!H274</f>
        <v>10000000</v>
      </c>
      <c r="H272" s="397">
        <f>'prévision 2017'!G274</f>
        <v>20000000</v>
      </c>
    </row>
    <row r="273" spans="1:8" ht="30" customHeight="1">
      <c r="A273" s="640" t="s">
        <v>44</v>
      </c>
      <c r="B273" s="411" t="s">
        <v>378</v>
      </c>
      <c r="C273" s="412" t="s">
        <v>473</v>
      </c>
      <c r="D273" s="379" t="s">
        <v>463</v>
      </c>
      <c r="F273" s="520">
        <f>F272</f>
        <v>20000000</v>
      </c>
      <c r="G273" s="520">
        <f>G272</f>
        <v>10000000</v>
      </c>
      <c r="H273" s="166">
        <f>H272</f>
        <v>20000000</v>
      </c>
    </row>
    <row r="274" spans="1:7" ht="30" customHeight="1">
      <c r="A274" s="640" t="s">
        <v>44</v>
      </c>
      <c r="B274" s="405" t="s">
        <v>379</v>
      </c>
      <c r="C274" s="421" t="s">
        <v>60</v>
      </c>
      <c r="F274" s="386"/>
      <c r="G274" s="596"/>
    </row>
    <row r="275" spans="1:8" ht="30" customHeight="1">
      <c r="A275" s="640" t="s">
        <v>44</v>
      </c>
      <c r="B275" s="405" t="s">
        <v>379</v>
      </c>
      <c r="C275" s="384" t="s">
        <v>473</v>
      </c>
      <c r="D275" s="415">
        <v>6312</v>
      </c>
      <c r="E275" s="402" t="s">
        <v>270</v>
      </c>
      <c r="F275" s="386">
        <f>'prévision 2017'!I277</f>
        <v>5833640</v>
      </c>
      <c r="G275" s="386">
        <f>'prévision 2017'!H277</f>
        <v>0</v>
      </c>
      <c r="H275" s="397">
        <f>'prévision 2017'!G277</f>
        <v>5833640</v>
      </c>
    </row>
    <row r="276" spans="1:8" ht="30" customHeight="1">
      <c r="A276" s="640" t="s">
        <v>44</v>
      </c>
      <c r="B276" s="411" t="s">
        <v>379</v>
      </c>
      <c r="C276" s="412" t="s">
        <v>473</v>
      </c>
      <c r="D276" s="379" t="s">
        <v>463</v>
      </c>
      <c r="F276" s="520">
        <f>F275</f>
        <v>5833640</v>
      </c>
      <c r="G276" s="520">
        <f>G275</f>
        <v>0</v>
      </c>
      <c r="H276" s="166">
        <f>H275</f>
        <v>5833640</v>
      </c>
    </row>
    <row r="277" spans="1:7" ht="30" customHeight="1">
      <c r="A277" s="640" t="s">
        <v>44</v>
      </c>
      <c r="B277" s="405" t="s">
        <v>380</v>
      </c>
      <c r="C277" s="421" t="s">
        <v>61</v>
      </c>
      <c r="F277" s="386"/>
      <c r="G277" s="596"/>
    </row>
    <row r="278" spans="1:8" ht="30" customHeight="1">
      <c r="A278" s="640" t="s">
        <v>44</v>
      </c>
      <c r="B278" s="405" t="s">
        <v>380</v>
      </c>
      <c r="C278" s="384" t="s">
        <v>473</v>
      </c>
      <c r="D278" s="415">
        <v>6312</v>
      </c>
      <c r="E278" s="402" t="s">
        <v>270</v>
      </c>
      <c r="F278" s="386">
        <f>'prévision 2017'!I280</f>
        <v>20000000</v>
      </c>
      <c r="G278" s="386">
        <f>'prévision 2017'!H280</f>
        <v>10000000</v>
      </c>
      <c r="H278" s="397">
        <f>'prévision 2017'!G280</f>
        <v>20000000</v>
      </c>
    </row>
    <row r="279" spans="1:8" ht="30" customHeight="1">
      <c r="A279" s="640" t="s">
        <v>44</v>
      </c>
      <c r="B279" s="411" t="s">
        <v>380</v>
      </c>
      <c r="C279" s="412" t="s">
        <v>473</v>
      </c>
      <c r="D279" s="379" t="s">
        <v>463</v>
      </c>
      <c r="F279" s="520">
        <f>F278</f>
        <v>20000000</v>
      </c>
      <c r="G279" s="520">
        <f>G278</f>
        <v>10000000</v>
      </c>
      <c r="H279" s="166">
        <f>H278</f>
        <v>20000000</v>
      </c>
    </row>
    <row r="280" spans="1:7" ht="30" customHeight="1">
      <c r="A280" s="640" t="s">
        <v>44</v>
      </c>
      <c r="B280" s="405" t="s">
        <v>381</v>
      </c>
      <c r="C280" s="421" t="s">
        <v>291</v>
      </c>
      <c r="F280" s="386"/>
      <c r="G280" s="596"/>
    </row>
    <row r="281" spans="1:8" ht="30" customHeight="1">
      <c r="A281" s="640" t="s">
        <v>44</v>
      </c>
      <c r="B281" s="405" t="s">
        <v>381</v>
      </c>
      <c r="C281" s="384" t="s">
        <v>473</v>
      </c>
      <c r="D281" s="402">
        <v>6312</v>
      </c>
      <c r="E281" s="402" t="s">
        <v>270</v>
      </c>
      <c r="F281" s="386">
        <f>'prévision 2017'!I283</f>
        <v>20000000</v>
      </c>
      <c r="G281" s="386">
        <f>'prévision 2017'!H283</f>
        <v>10000000</v>
      </c>
      <c r="H281" s="397">
        <f>'prévision 2017'!G283</f>
        <v>20000000</v>
      </c>
    </row>
    <row r="282" spans="1:8" ht="30" customHeight="1">
      <c r="A282" s="640" t="s">
        <v>44</v>
      </c>
      <c r="B282" s="411" t="s">
        <v>381</v>
      </c>
      <c r="C282" s="412" t="s">
        <v>473</v>
      </c>
      <c r="D282" s="379" t="s">
        <v>463</v>
      </c>
      <c r="F282" s="520">
        <f>F281</f>
        <v>20000000</v>
      </c>
      <c r="G282" s="520">
        <f>G281</f>
        <v>10000000</v>
      </c>
      <c r="H282" s="166">
        <f>H281</f>
        <v>20000000</v>
      </c>
    </row>
    <row r="283" spans="1:7" ht="30" customHeight="1">
      <c r="A283" s="640" t="s">
        <v>44</v>
      </c>
      <c r="B283" s="405" t="s">
        <v>382</v>
      </c>
      <c r="C283" s="423" t="s">
        <v>62</v>
      </c>
      <c r="F283" s="386"/>
      <c r="G283" s="596"/>
    </row>
    <row r="284" spans="1:8" ht="30" customHeight="1">
      <c r="A284" s="640" t="s">
        <v>44</v>
      </c>
      <c r="B284" s="405" t="s">
        <v>382</v>
      </c>
      <c r="C284" s="384" t="s">
        <v>470</v>
      </c>
      <c r="D284" s="365">
        <v>2123</v>
      </c>
      <c r="E284" s="372" t="s">
        <v>619</v>
      </c>
      <c r="F284" s="386">
        <f>'prévision 2017'!I286</f>
        <v>150000000</v>
      </c>
      <c r="G284" s="386">
        <f>'prévision 2017'!H286</f>
        <v>8907000</v>
      </c>
      <c r="H284" s="397">
        <f>'prévision 2017'!G286</f>
        <v>150000000</v>
      </c>
    </row>
    <row r="285" spans="1:8" ht="30" customHeight="1">
      <c r="A285" s="640" t="s">
        <v>44</v>
      </c>
      <c r="B285" s="411" t="s">
        <v>382</v>
      </c>
      <c r="C285" s="412" t="s">
        <v>470</v>
      </c>
      <c r="D285" s="379" t="s">
        <v>463</v>
      </c>
      <c r="F285" s="520">
        <f>SUM(F284)</f>
        <v>150000000</v>
      </c>
      <c r="G285" s="520">
        <f>SUM(G284)</f>
        <v>8907000</v>
      </c>
      <c r="H285" s="166">
        <f>SUM(H284)</f>
        <v>150000000</v>
      </c>
    </row>
    <row r="286" spans="1:8" ht="30" customHeight="1">
      <c r="A286" s="642" t="s">
        <v>44</v>
      </c>
      <c r="B286" s="411" t="s">
        <v>687</v>
      </c>
      <c r="D286" s="423" t="s">
        <v>688</v>
      </c>
      <c r="E286" s="564"/>
      <c r="F286" s="564"/>
      <c r="G286" s="564"/>
      <c r="H286" s="568"/>
    </row>
    <row r="287" spans="1:8" ht="30" customHeight="1">
      <c r="A287" s="643" t="s">
        <v>44</v>
      </c>
      <c r="B287" s="411" t="s">
        <v>687</v>
      </c>
      <c r="C287" s="569"/>
      <c r="D287" s="355">
        <v>6311</v>
      </c>
      <c r="E287" s="302" t="s">
        <v>271</v>
      </c>
      <c r="F287" s="386">
        <f>'prévision 2017'!I289</f>
        <v>5000000</v>
      </c>
      <c r="G287" s="386">
        <f>'prévision 2017'!H289</f>
        <v>0</v>
      </c>
      <c r="H287" s="570"/>
    </row>
    <row r="288" spans="1:8" ht="30" customHeight="1">
      <c r="A288" s="642" t="s">
        <v>44</v>
      </c>
      <c r="B288" s="411" t="s">
        <v>687</v>
      </c>
      <c r="C288" s="412"/>
      <c r="D288" s="379" t="s">
        <v>463</v>
      </c>
      <c r="F288" s="520">
        <f>SUM(F287)</f>
        <v>5000000</v>
      </c>
      <c r="G288" s="520">
        <f>SUM(G287)</f>
        <v>0</v>
      </c>
      <c r="H288" s="166"/>
    </row>
    <row r="289" spans="1:8" ht="30" customHeight="1">
      <c r="A289" s="640" t="s">
        <v>44</v>
      </c>
      <c r="B289" s="424" t="s">
        <v>72</v>
      </c>
      <c r="C289" s="156"/>
      <c r="F289" s="520">
        <f>F285+F282+F279+F276+F273+F270+F267+F263+F259+F255+F251+F245+F240+F233+F227+F221+F215+F208+F201+F288</f>
        <v>2410559481.3</v>
      </c>
      <c r="G289" s="520">
        <f>G285+G282+G279+G276+G273+G270+G267+G263+G259+G255+G251+G245+G240+G233+G227+G221+G215+G208+G201+G288</f>
        <v>1424923411.7699997</v>
      </c>
      <c r="H289" s="520">
        <f>H285+H282+H279+H276+H273+H270+H267+H263+H259+H255+H251+H245+H240+H233+H227+H221+H215+H208+H201+H288</f>
        <v>2405559481.3</v>
      </c>
    </row>
    <row r="290" spans="1:7" ht="30" customHeight="1">
      <c r="A290" s="387" t="s">
        <v>64</v>
      </c>
      <c r="B290" s="367" t="s">
        <v>539</v>
      </c>
      <c r="C290" s="367"/>
      <c r="F290" s="386"/>
      <c r="G290" s="596"/>
    </row>
    <row r="291" spans="1:7" ht="30" customHeight="1">
      <c r="A291" s="387" t="s">
        <v>64</v>
      </c>
      <c r="B291" s="405" t="s">
        <v>383</v>
      </c>
      <c r="C291" s="425" t="s">
        <v>65</v>
      </c>
      <c r="F291" s="386"/>
      <c r="G291" s="596"/>
    </row>
    <row r="292" spans="1:8" ht="30" customHeight="1">
      <c r="A292" s="165" t="s">
        <v>64</v>
      </c>
      <c r="B292" s="405" t="s">
        <v>383</v>
      </c>
      <c r="C292" s="384" t="s">
        <v>459</v>
      </c>
      <c r="D292" s="365">
        <v>6611</v>
      </c>
      <c r="E292" s="368" t="s">
        <v>6</v>
      </c>
      <c r="F292" s="386">
        <f>'prévision 2017'!I294</f>
        <v>144875132</v>
      </c>
      <c r="G292" s="386">
        <f>'prévision 2017'!H294</f>
        <v>69987351.5</v>
      </c>
      <c r="H292" s="397">
        <f>'prévision 2017'!G294</f>
        <v>144875132</v>
      </c>
    </row>
    <row r="293" spans="1:8" ht="30" customHeight="1">
      <c r="A293" s="165" t="s">
        <v>64</v>
      </c>
      <c r="B293" s="411" t="s">
        <v>383</v>
      </c>
      <c r="C293" s="384" t="s">
        <v>459</v>
      </c>
      <c r="D293" s="365">
        <v>6682</v>
      </c>
      <c r="E293" s="368" t="s">
        <v>262</v>
      </c>
      <c r="F293" s="386">
        <f>'prévision 2017'!I295</f>
        <v>0</v>
      </c>
      <c r="G293" s="386">
        <f>'prévision 2017'!H295</f>
        <v>0</v>
      </c>
      <c r="H293" s="397">
        <f>'prévision 2017'!G295</f>
        <v>0</v>
      </c>
    </row>
    <row r="294" spans="1:8" ht="30" customHeight="1">
      <c r="A294" s="165" t="s">
        <v>64</v>
      </c>
      <c r="B294" s="411" t="s">
        <v>383</v>
      </c>
      <c r="C294" s="384" t="s">
        <v>459</v>
      </c>
      <c r="D294" s="365">
        <v>60100</v>
      </c>
      <c r="E294" s="368" t="s">
        <v>7</v>
      </c>
      <c r="F294" s="386">
        <f>'prévision 2017'!I296</f>
        <v>1504000</v>
      </c>
      <c r="G294" s="386">
        <f>'prévision 2017'!H296</f>
        <v>1128000</v>
      </c>
      <c r="H294" s="397">
        <f>'prévision 2017'!G296</f>
        <v>1504000</v>
      </c>
    </row>
    <row r="295" spans="1:8" ht="30" customHeight="1">
      <c r="A295" s="165" t="s">
        <v>64</v>
      </c>
      <c r="B295" s="411" t="s">
        <v>383</v>
      </c>
      <c r="C295" s="384" t="s">
        <v>459</v>
      </c>
      <c r="D295" s="365">
        <v>60101</v>
      </c>
      <c r="E295" s="368" t="s">
        <v>255</v>
      </c>
      <c r="F295" s="386">
        <f>'prévision 2017'!I297</f>
        <v>0</v>
      </c>
      <c r="G295" s="386">
        <f>'prévision 2017'!H297</f>
        <v>0</v>
      </c>
      <c r="H295" s="397">
        <f>'prévision 2017'!G297</f>
        <v>0</v>
      </c>
    </row>
    <row r="296" spans="1:8" ht="30" customHeight="1">
      <c r="A296" s="165" t="s">
        <v>64</v>
      </c>
      <c r="B296" s="411" t="s">
        <v>383</v>
      </c>
      <c r="C296" s="384" t="s">
        <v>459</v>
      </c>
      <c r="D296" s="365">
        <v>6122</v>
      </c>
      <c r="E296" s="389" t="s">
        <v>582</v>
      </c>
      <c r="F296" s="386">
        <f>'prévision 2017'!I298</f>
        <v>1034000</v>
      </c>
      <c r="G296" s="386">
        <f>'prévision 2017'!H298</f>
        <v>775500</v>
      </c>
      <c r="H296" s="397">
        <f>'prévision 2017'!G298</f>
        <v>1034000</v>
      </c>
    </row>
    <row r="297" spans="1:8" ht="30" customHeight="1">
      <c r="A297" s="165" t="s">
        <v>64</v>
      </c>
      <c r="B297" s="411" t="s">
        <v>383</v>
      </c>
      <c r="C297" s="384" t="s">
        <v>459</v>
      </c>
      <c r="D297" s="365">
        <v>6175</v>
      </c>
      <c r="E297" s="368" t="s">
        <v>13</v>
      </c>
      <c r="F297" s="386">
        <f>'prévision 2017'!I299</f>
        <v>1504000</v>
      </c>
      <c r="G297" s="386">
        <f>'prévision 2017'!H299</f>
        <v>1128000</v>
      </c>
      <c r="H297" s="397">
        <f>'prévision 2017'!G299</f>
        <v>1504000</v>
      </c>
    </row>
    <row r="298" spans="1:8" ht="30" customHeight="1">
      <c r="A298" s="165" t="s">
        <v>64</v>
      </c>
      <c r="B298" s="411" t="s">
        <v>383</v>
      </c>
      <c r="C298" s="384" t="s">
        <v>459</v>
      </c>
      <c r="D298" s="379" t="s">
        <v>463</v>
      </c>
      <c r="F298" s="520">
        <f>SUM(F292:F297)</f>
        <v>148917132</v>
      </c>
      <c r="G298" s="520">
        <f>SUM(G292:G297)</f>
        <v>73018851.5</v>
      </c>
      <c r="H298" s="166">
        <f>SUM(H292:H297)</f>
        <v>148917132</v>
      </c>
    </row>
    <row r="299" spans="1:7" ht="30" customHeight="1">
      <c r="A299" s="165" t="s">
        <v>64</v>
      </c>
      <c r="B299" s="405" t="s">
        <v>384</v>
      </c>
      <c r="C299" s="410" t="s">
        <v>66</v>
      </c>
      <c r="F299" s="386"/>
      <c r="G299" s="596"/>
    </row>
    <row r="300" spans="1:8" ht="30" customHeight="1">
      <c r="A300" s="165" t="s">
        <v>64</v>
      </c>
      <c r="B300" s="405" t="s">
        <v>384</v>
      </c>
      <c r="C300" s="384" t="s">
        <v>459</v>
      </c>
      <c r="D300" s="365">
        <v>6611</v>
      </c>
      <c r="E300" s="368" t="s">
        <v>6</v>
      </c>
      <c r="F300" s="386">
        <f>'prévision 2017'!I302</f>
        <v>46418340</v>
      </c>
      <c r="G300" s="386">
        <f>'prévision 2017'!H302</f>
        <v>9251866.7</v>
      </c>
      <c r="H300" s="428">
        <f>'prévision 2017'!G302</f>
        <v>46418340</v>
      </c>
    </row>
    <row r="301" spans="1:8" ht="30" customHeight="1">
      <c r="A301" s="165" t="s">
        <v>64</v>
      </c>
      <c r="B301" s="411" t="s">
        <v>384</v>
      </c>
      <c r="C301" s="384" t="s">
        <v>459</v>
      </c>
      <c r="D301" s="365">
        <v>60100</v>
      </c>
      <c r="E301" s="368" t="s">
        <v>7</v>
      </c>
      <c r="F301" s="386">
        <f>'prévision 2017'!I303</f>
        <v>658000</v>
      </c>
      <c r="G301" s="386">
        <f>'prévision 2017'!H303</f>
        <v>493500</v>
      </c>
      <c r="H301" s="529">
        <f>'prévision 2017'!G303</f>
        <v>658000</v>
      </c>
    </row>
    <row r="302" spans="1:8" ht="30" customHeight="1">
      <c r="A302" s="165" t="s">
        <v>64</v>
      </c>
      <c r="B302" s="411" t="s">
        <v>384</v>
      </c>
      <c r="C302" s="384" t="s">
        <v>459</v>
      </c>
      <c r="D302" s="365">
        <v>60101</v>
      </c>
      <c r="E302" s="368" t="s">
        <v>255</v>
      </c>
      <c r="F302" s="386">
        <f>'prévision 2017'!I304</f>
        <v>0</v>
      </c>
      <c r="G302" s="386">
        <f>'prévision 2017'!H304</f>
        <v>0</v>
      </c>
      <c r="H302" s="529">
        <f>'prévision 2017'!G304</f>
        <v>0</v>
      </c>
    </row>
    <row r="303" spans="1:8" ht="30" customHeight="1">
      <c r="A303" s="165" t="s">
        <v>64</v>
      </c>
      <c r="B303" s="411" t="s">
        <v>384</v>
      </c>
      <c r="C303" s="384" t="s">
        <v>459</v>
      </c>
      <c r="D303" s="365">
        <v>6122</v>
      </c>
      <c r="E303" s="389" t="s">
        <v>582</v>
      </c>
      <c r="F303" s="386">
        <f>'prévision 2017'!I305</f>
        <v>463890</v>
      </c>
      <c r="G303" s="386">
        <f>'prévision 2017'!H305</f>
        <v>462973</v>
      </c>
      <c r="H303" s="529">
        <f>'prévision 2017'!G305</f>
        <v>463890</v>
      </c>
    </row>
    <row r="304" spans="1:8" ht="30" customHeight="1">
      <c r="A304" s="165" t="s">
        <v>64</v>
      </c>
      <c r="B304" s="411" t="s">
        <v>384</v>
      </c>
      <c r="C304" s="384" t="s">
        <v>459</v>
      </c>
      <c r="D304" s="365">
        <v>6175</v>
      </c>
      <c r="E304" s="368" t="s">
        <v>13</v>
      </c>
      <c r="F304" s="386">
        <f>'prévision 2017'!I306</f>
        <v>376000</v>
      </c>
      <c r="G304" s="386">
        <f>'prévision 2017'!H306</f>
        <v>282000</v>
      </c>
      <c r="H304" s="529">
        <f>'prévision 2017'!G306</f>
        <v>376000</v>
      </c>
    </row>
    <row r="305" spans="1:8" ht="30" customHeight="1">
      <c r="A305" s="165" t="s">
        <v>64</v>
      </c>
      <c r="B305" s="411" t="s">
        <v>384</v>
      </c>
      <c r="C305" s="412" t="s">
        <v>459</v>
      </c>
      <c r="D305" s="379" t="s">
        <v>463</v>
      </c>
      <c r="F305" s="520">
        <f>SUM(F300:F304)</f>
        <v>47916230</v>
      </c>
      <c r="G305" s="520">
        <f>SUM(G300:G304)</f>
        <v>10490339.7</v>
      </c>
      <c r="H305" s="414">
        <f>SUM(H300:H304)</f>
        <v>47916230</v>
      </c>
    </row>
    <row r="306" spans="1:7" ht="30" customHeight="1">
      <c r="A306" s="165" t="s">
        <v>64</v>
      </c>
      <c r="B306" s="405" t="s">
        <v>385</v>
      </c>
      <c r="C306" s="410" t="s">
        <v>67</v>
      </c>
      <c r="F306" s="386"/>
      <c r="G306" s="596"/>
    </row>
    <row r="307" spans="1:8" ht="30" customHeight="1">
      <c r="A307" s="165" t="s">
        <v>64</v>
      </c>
      <c r="B307" s="405" t="s">
        <v>385</v>
      </c>
      <c r="C307" s="384" t="s">
        <v>477</v>
      </c>
      <c r="D307" s="365">
        <v>6611</v>
      </c>
      <c r="E307" s="368" t="s">
        <v>6</v>
      </c>
      <c r="F307" s="386">
        <f>'prévision 2017'!I309</f>
        <v>8835016</v>
      </c>
      <c r="G307" s="386">
        <f>'prévision 2017'!H309</f>
        <v>6471666.84</v>
      </c>
      <c r="H307" s="167">
        <f>'prévision 2017'!G309</f>
        <v>8835016</v>
      </c>
    </row>
    <row r="308" spans="1:8" ht="30" customHeight="1">
      <c r="A308" s="165" t="s">
        <v>64</v>
      </c>
      <c r="B308" s="411" t="s">
        <v>385</v>
      </c>
      <c r="C308" s="384" t="s">
        <v>477</v>
      </c>
      <c r="D308" s="365">
        <v>60100</v>
      </c>
      <c r="E308" s="368" t="s">
        <v>7</v>
      </c>
      <c r="F308" s="386">
        <f>'prévision 2017'!I310</f>
        <v>854460</v>
      </c>
      <c r="G308" s="386">
        <f>'prévision 2017'!H310</f>
        <v>213615</v>
      </c>
      <c r="H308" s="167">
        <f>'prévision 2017'!G310</f>
        <v>854460</v>
      </c>
    </row>
    <row r="309" spans="1:8" ht="30" customHeight="1">
      <c r="A309" s="165" t="s">
        <v>64</v>
      </c>
      <c r="B309" s="411" t="s">
        <v>385</v>
      </c>
      <c r="C309" s="384" t="s">
        <v>477</v>
      </c>
      <c r="D309" s="365">
        <v>6122</v>
      </c>
      <c r="E309" s="389" t="s">
        <v>582</v>
      </c>
      <c r="F309" s="386">
        <f>'prévision 2017'!I311</f>
        <v>664580</v>
      </c>
      <c r="G309" s="386">
        <f>'prévision 2017'!H311</f>
        <v>166145</v>
      </c>
      <c r="H309" s="167">
        <f>'prévision 2017'!G311</f>
        <v>664580</v>
      </c>
    </row>
    <row r="310" spans="1:8" ht="30" customHeight="1">
      <c r="A310" s="165" t="s">
        <v>64</v>
      </c>
      <c r="B310" s="411" t="s">
        <v>385</v>
      </c>
      <c r="C310" s="384" t="s">
        <v>477</v>
      </c>
      <c r="D310" s="365">
        <v>6021</v>
      </c>
      <c r="E310" s="368" t="s">
        <v>68</v>
      </c>
      <c r="F310" s="386">
        <f>'prévision 2017'!I312</f>
        <v>60000000</v>
      </c>
      <c r="G310" s="386">
        <f>'prévision 2017'!H312</f>
        <v>45000000</v>
      </c>
      <c r="H310" s="167">
        <f>'prévision 2017'!G312</f>
        <v>60000000</v>
      </c>
    </row>
    <row r="311" spans="1:8" ht="30" customHeight="1">
      <c r="A311" s="165" t="s">
        <v>64</v>
      </c>
      <c r="B311" s="411" t="s">
        <v>385</v>
      </c>
      <c r="C311" s="384" t="s">
        <v>477</v>
      </c>
      <c r="D311" s="365">
        <v>6432</v>
      </c>
      <c r="E311" s="368" t="s">
        <v>41</v>
      </c>
      <c r="F311" s="386">
        <f>'prévision 2017'!I313</f>
        <v>0</v>
      </c>
      <c r="G311" s="386">
        <f>'prévision 2017'!H313</f>
        <v>0</v>
      </c>
      <c r="H311" s="397">
        <f>'prévision 2017'!G313</f>
        <v>0</v>
      </c>
    </row>
    <row r="312" spans="1:8" ht="30" customHeight="1">
      <c r="A312" s="165" t="s">
        <v>64</v>
      </c>
      <c r="B312" s="411" t="s">
        <v>385</v>
      </c>
      <c r="C312" s="412" t="s">
        <v>477</v>
      </c>
      <c r="D312" s="379" t="s">
        <v>463</v>
      </c>
      <c r="F312" s="520">
        <f>SUM(F307:F311)</f>
        <v>70354056</v>
      </c>
      <c r="G312" s="520">
        <f>SUM(G307:G311)</f>
        <v>51851426.84</v>
      </c>
      <c r="H312" s="166">
        <f>SUM(H307:H311)</f>
        <v>70354056</v>
      </c>
    </row>
    <row r="313" spans="1:7" ht="30" customHeight="1">
      <c r="A313" s="165" t="s">
        <v>64</v>
      </c>
      <c r="B313" s="405" t="s">
        <v>386</v>
      </c>
      <c r="C313" s="426" t="s">
        <v>69</v>
      </c>
      <c r="F313" s="386"/>
      <c r="G313" s="596"/>
    </row>
    <row r="314" spans="1:8" ht="30" customHeight="1">
      <c r="A314" s="165" t="s">
        <v>64</v>
      </c>
      <c r="B314" s="405" t="s">
        <v>386</v>
      </c>
      <c r="C314" s="384" t="s">
        <v>465</v>
      </c>
      <c r="D314" s="365">
        <v>6611</v>
      </c>
      <c r="E314" s="368" t="s">
        <v>6</v>
      </c>
      <c r="F314" s="386">
        <f>'prévision 2017'!I316</f>
        <v>64621200</v>
      </c>
      <c r="G314" s="386">
        <f>'prévision 2017'!H316</f>
        <v>94999105.80000001</v>
      </c>
      <c r="H314" s="167">
        <f>'prévision 2017'!G316</f>
        <v>64621200</v>
      </c>
    </row>
    <row r="315" spans="1:8" ht="30" customHeight="1">
      <c r="A315" s="165" t="s">
        <v>64</v>
      </c>
      <c r="B315" s="411" t="s">
        <v>386</v>
      </c>
      <c r="C315" s="384" t="s">
        <v>465</v>
      </c>
      <c r="D315" s="365">
        <v>60100</v>
      </c>
      <c r="E315" s="368" t="s">
        <v>7</v>
      </c>
      <c r="F315" s="386">
        <f>'prévision 2017'!I317</f>
        <v>1891186</v>
      </c>
      <c r="G315" s="386">
        <f>'prévision 2017'!H317</f>
        <v>741792</v>
      </c>
      <c r="H315" s="167">
        <f>'prévision 2017'!G317</f>
        <v>1891186</v>
      </c>
    </row>
    <row r="316" spans="1:8" ht="30" customHeight="1">
      <c r="A316" s="165" t="s">
        <v>64</v>
      </c>
      <c r="B316" s="411" t="s">
        <v>386</v>
      </c>
      <c r="C316" s="384" t="s">
        <v>465</v>
      </c>
      <c r="D316" s="365">
        <v>6122</v>
      </c>
      <c r="E316" s="389" t="s">
        <v>582</v>
      </c>
      <c r="F316" s="386">
        <f>'prévision 2017'!I318</f>
        <v>756474</v>
      </c>
      <c r="G316" s="386">
        <f>'prévision 2017'!H318</f>
        <v>567119</v>
      </c>
      <c r="H316" s="167">
        <f>'prévision 2017'!G318</f>
        <v>756474</v>
      </c>
    </row>
    <row r="317" spans="1:8" ht="30" customHeight="1">
      <c r="A317" s="165" t="s">
        <v>64</v>
      </c>
      <c r="B317" s="411" t="s">
        <v>386</v>
      </c>
      <c r="C317" s="384" t="s">
        <v>465</v>
      </c>
      <c r="D317" s="365">
        <v>6152</v>
      </c>
      <c r="E317" s="368" t="s">
        <v>256</v>
      </c>
      <c r="F317" s="386">
        <f>'prévision 2017'!I319</f>
        <v>0</v>
      </c>
      <c r="G317" s="386">
        <f>'prévision 2017'!H319</f>
        <v>0</v>
      </c>
      <c r="H317" s="167">
        <f>'prévision 2017'!G319</f>
        <v>0</v>
      </c>
    </row>
    <row r="318" spans="1:8" ht="30" customHeight="1">
      <c r="A318" s="165" t="s">
        <v>64</v>
      </c>
      <c r="B318" s="411" t="s">
        <v>386</v>
      </c>
      <c r="C318" s="384" t="s">
        <v>465</v>
      </c>
      <c r="D318" s="365">
        <v>6171</v>
      </c>
      <c r="E318" s="368" t="s">
        <v>214</v>
      </c>
      <c r="F318" s="386">
        <f>'prévision 2017'!I320</f>
        <v>0</v>
      </c>
      <c r="G318" s="386">
        <f>'prévision 2017'!H320</f>
        <v>0</v>
      </c>
      <c r="H318" s="167">
        <f>'prévision 2017'!G320</f>
        <v>0</v>
      </c>
    </row>
    <row r="319" spans="1:8" ht="30" customHeight="1">
      <c r="A319" s="165" t="s">
        <v>64</v>
      </c>
      <c r="B319" s="411" t="s">
        <v>386</v>
      </c>
      <c r="C319" s="384" t="s">
        <v>465</v>
      </c>
      <c r="D319" s="365">
        <v>6175</v>
      </c>
      <c r="E319" s="368" t="s">
        <v>49</v>
      </c>
      <c r="F319" s="386">
        <f>'prévision 2017'!I321</f>
        <v>0</v>
      </c>
      <c r="G319" s="386">
        <f>'prévision 2017'!H321</f>
        <v>0</v>
      </c>
      <c r="H319" s="167">
        <f>'prévision 2017'!G321</f>
        <v>0</v>
      </c>
    </row>
    <row r="320" spans="1:8" ht="30" customHeight="1">
      <c r="A320" s="165" t="s">
        <v>64</v>
      </c>
      <c r="B320" s="411" t="s">
        <v>386</v>
      </c>
      <c r="C320" s="384" t="s">
        <v>465</v>
      </c>
      <c r="D320" s="365">
        <v>2171</v>
      </c>
      <c r="E320" s="366" t="s">
        <v>284</v>
      </c>
      <c r="F320" s="386">
        <f>'prévision 2017'!I322</f>
        <v>0</v>
      </c>
      <c r="G320" s="386">
        <f>'prévision 2017'!H322</f>
        <v>0</v>
      </c>
      <c r="H320" s="167">
        <f>'prévision 2017'!G322</f>
        <v>0</v>
      </c>
    </row>
    <row r="321" spans="1:8" ht="30" customHeight="1">
      <c r="A321" s="165" t="s">
        <v>64</v>
      </c>
      <c r="B321" s="411" t="s">
        <v>386</v>
      </c>
      <c r="C321" s="412" t="s">
        <v>465</v>
      </c>
      <c r="D321" s="379" t="s">
        <v>463</v>
      </c>
      <c r="F321" s="520">
        <f>SUM(F314:F320)</f>
        <v>67268860</v>
      </c>
      <c r="G321" s="520">
        <f>SUM(G314:G320)</f>
        <v>96308016.80000001</v>
      </c>
      <c r="H321" s="166">
        <f>SUM(H314:H320)</f>
        <v>67268860</v>
      </c>
    </row>
    <row r="322" spans="1:7" ht="30" customHeight="1">
      <c r="A322" s="165" t="s">
        <v>64</v>
      </c>
      <c r="B322" s="405" t="s">
        <v>387</v>
      </c>
      <c r="C322" s="410" t="s">
        <v>70</v>
      </c>
      <c r="F322" s="386"/>
      <c r="G322" s="596"/>
    </row>
    <row r="323" spans="1:8" ht="30" customHeight="1">
      <c r="A323" s="165" t="s">
        <v>64</v>
      </c>
      <c r="B323" s="405" t="s">
        <v>387</v>
      </c>
      <c r="C323" s="384" t="s">
        <v>459</v>
      </c>
      <c r="D323" s="365">
        <v>6611</v>
      </c>
      <c r="E323" s="368" t="s">
        <v>6</v>
      </c>
      <c r="F323" s="386">
        <f>'prévision 2017'!I325</f>
        <v>20676936</v>
      </c>
      <c r="G323" s="386">
        <f>'prévision 2017'!H325</f>
        <v>30439650.04</v>
      </c>
      <c r="H323" s="167">
        <f>'prévision 2017'!G325</f>
        <v>20676936</v>
      </c>
    </row>
    <row r="324" spans="1:8" ht="30" customHeight="1">
      <c r="A324" s="165" t="s">
        <v>64</v>
      </c>
      <c r="B324" s="411" t="s">
        <v>387</v>
      </c>
      <c r="C324" s="384" t="s">
        <v>459</v>
      </c>
      <c r="D324" s="365">
        <v>60100</v>
      </c>
      <c r="E324" s="368" t="s">
        <v>7</v>
      </c>
      <c r="F324" s="386">
        <f>'prévision 2017'!I326</f>
        <v>759520</v>
      </c>
      <c r="G324" s="386">
        <f>'prévision 2017'!H326</f>
        <v>189880</v>
      </c>
      <c r="H324" s="167">
        <f>'prévision 2017'!G326</f>
        <v>759520</v>
      </c>
    </row>
    <row r="325" spans="1:8" ht="30" customHeight="1">
      <c r="A325" s="165" t="s">
        <v>64</v>
      </c>
      <c r="B325" s="411" t="s">
        <v>387</v>
      </c>
      <c r="C325" s="384" t="s">
        <v>459</v>
      </c>
      <c r="D325" s="365">
        <v>6122</v>
      </c>
      <c r="E325" s="389" t="s">
        <v>582</v>
      </c>
      <c r="F325" s="386">
        <f>'prévision 2017'!I327</f>
        <v>569640</v>
      </c>
      <c r="G325" s="386">
        <f>'prévision 2017'!H327</f>
        <v>142410</v>
      </c>
      <c r="H325" s="167">
        <f>'prévision 2017'!G327</f>
        <v>569640</v>
      </c>
    </row>
    <row r="326" spans="1:8" ht="30" customHeight="1">
      <c r="A326" s="165" t="s">
        <v>64</v>
      </c>
      <c r="B326" s="411" t="s">
        <v>387</v>
      </c>
      <c r="C326" s="412" t="s">
        <v>459</v>
      </c>
      <c r="D326" s="379" t="s">
        <v>463</v>
      </c>
      <c r="F326" s="520">
        <f>SUM(F323:F325)</f>
        <v>22006096</v>
      </c>
      <c r="G326" s="520">
        <f>SUM(G323:G325)</f>
        <v>30771940.04</v>
      </c>
      <c r="H326" s="166">
        <f>SUM(H323:H325)</f>
        <v>22006096</v>
      </c>
    </row>
    <row r="327" spans="1:7" ht="30" customHeight="1">
      <c r="A327" s="165" t="s">
        <v>64</v>
      </c>
      <c r="B327" s="405" t="s">
        <v>388</v>
      </c>
      <c r="C327" s="427" t="s">
        <v>71</v>
      </c>
      <c r="F327" s="386"/>
      <c r="G327" s="596"/>
    </row>
    <row r="328" spans="1:8" ht="30" customHeight="1">
      <c r="A328" s="165" t="s">
        <v>64</v>
      </c>
      <c r="B328" s="405" t="s">
        <v>388</v>
      </c>
      <c r="C328" s="384" t="s">
        <v>459</v>
      </c>
      <c r="D328" s="365">
        <v>6611</v>
      </c>
      <c r="E328" s="368" t="s">
        <v>6</v>
      </c>
      <c r="F328" s="386">
        <f>'prévision 2017'!I330</f>
        <v>479084236</v>
      </c>
      <c r="G328" s="386">
        <f>'prévision 2017'!H330</f>
        <v>490992162.66</v>
      </c>
      <c r="H328" s="167">
        <f>'prévision 2017'!G330</f>
        <v>479084236</v>
      </c>
    </row>
    <row r="329" spans="1:8" ht="30" customHeight="1">
      <c r="A329" s="165" t="s">
        <v>64</v>
      </c>
      <c r="B329" s="411" t="s">
        <v>388</v>
      </c>
      <c r="C329" s="384" t="s">
        <v>459</v>
      </c>
      <c r="D329" s="365">
        <v>60100</v>
      </c>
      <c r="E329" s="368" t="s">
        <v>7</v>
      </c>
      <c r="F329" s="386">
        <f>'prévision 2017'!I331</f>
        <v>854460</v>
      </c>
      <c r="G329" s="386">
        <f>'prévision 2017'!H331</f>
        <v>0</v>
      </c>
      <c r="H329" s="167">
        <f>'prévision 2017'!G331</f>
        <v>854460</v>
      </c>
    </row>
    <row r="330" spans="1:8" ht="30" customHeight="1">
      <c r="A330" s="165" t="s">
        <v>64</v>
      </c>
      <c r="B330" s="411" t="s">
        <v>388</v>
      </c>
      <c r="C330" s="384" t="s">
        <v>459</v>
      </c>
      <c r="D330" s="365">
        <v>6122</v>
      </c>
      <c r="E330" s="389" t="s">
        <v>582</v>
      </c>
      <c r="F330" s="386">
        <f>'prévision 2017'!I332</f>
        <v>474700</v>
      </c>
      <c r="G330" s="386">
        <f>'prévision 2017'!H332</f>
        <v>0</v>
      </c>
      <c r="H330" s="167">
        <f>'prévision 2017'!G332</f>
        <v>474700</v>
      </c>
    </row>
    <row r="331" spans="1:8" ht="30" customHeight="1">
      <c r="A331" s="165" t="s">
        <v>64</v>
      </c>
      <c r="B331" s="411" t="s">
        <v>388</v>
      </c>
      <c r="C331" s="412" t="s">
        <v>459</v>
      </c>
      <c r="D331" s="379" t="s">
        <v>463</v>
      </c>
      <c r="F331" s="520">
        <f>SUM(F328:F330)</f>
        <v>480413396</v>
      </c>
      <c r="G331" s="520">
        <f>SUM(G328:G330)</f>
        <v>490992162.66</v>
      </c>
      <c r="H331" s="166">
        <f>SUM(H328:H330)</f>
        <v>480413396</v>
      </c>
    </row>
    <row r="332" spans="1:7" ht="30" customHeight="1">
      <c r="A332" s="165" t="s">
        <v>64</v>
      </c>
      <c r="B332" s="405" t="s">
        <v>389</v>
      </c>
      <c r="C332" s="427" t="s">
        <v>73</v>
      </c>
      <c r="F332" s="386"/>
      <c r="G332" s="596"/>
    </row>
    <row r="333" spans="1:8" ht="30" customHeight="1">
      <c r="A333" s="165" t="s">
        <v>64</v>
      </c>
      <c r="B333" s="405" t="s">
        <v>389</v>
      </c>
      <c r="C333" s="384" t="s">
        <v>459</v>
      </c>
      <c r="D333" s="365">
        <v>60100</v>
      </c>
      <c r="E333" s="368" t="s">
        <v>7</v>
      </c>
      <c r="F333" s="386">
        <f>'prévision 2017'!I335</f>
        <v>470893</v>
      </c>
      <c r="G333" s="386">
        <f>'prévision 2017'!H335</f>
        <v>0</v>
      </c>
      <c r="H333" s="167">
        <f>'prévision 2017'!G335</f>
        <v>470893</v>
      </c>
    </row>
    <row r="334" spans="1:8" ht="30" customHeight="1">
      <c r="A334" s="165" t="s">
        <v>64</v>
      </c>
      <c r="B334" s="411" t="s">
        <v>389</v>
      </c>
      <c r="C334" s="384" t="s">
        <v>459</v>
      </c>
      <c r="D334" s="365">
        <v>6122</v>
      </c>
      <c r="E334" s="389" t="s">
        <v>582</v>
      </c>
      <c r="F334" s="386">
        <f>'prévision 2017'!I336</f>
        <v>376714</v>
      </c>
      <c r="G334" s="386">
        <f>'prévision 2017'!H336</f>
        <v>0</v>
      </c>
      <c r="H334" s="167">
        <f>'prévision 2017'!G336</f>
        <v>376714</v>
      </c>
    </row>
    <row r="335" spans="1:8" ht="30" customHeight="1">
      <c r="A335" s="165" t="s">
        <v>64</v>
      </c>
      <c r="B335" s="411" t="s">
        <v>389</v>
      </c>
      <c r="C335" s="412" t="s">
        <v>459</v>
      </c>
      <c r="D335" s="379" t="s">
        <v>463</v>
      </c>
      <c r="F335" s="520">
        <f>SUM(F333:F334)</f>
        <v>847607</v>
      </c>
      <c r="G335" s="520">
        <f>SUM(G333:G334)</f>
        <v>0</v>
      </c>
      <c r="H335" s="166">
        <f>SUM(H333:H334)</f>
        <v>847607</v>
      </c>
    </row>
    <row r="336" spans="1:7" ht="30" customHeight="1">
      <c r="A336" s="165" t="s">
        <v>64</v>
      </c>
      <c r="B336" s="405" t="s">
        <v>390</v>
      </c>
      <c r="C336" s="427" t="s">
        <v>659</v>
      </c>
      <c r="F336" s="386"/>
      <c r="G336" s="596"/>
    </row>
    <row r="337" spans="1:8" ht="30" customHeight="1">
      <c r="A337" s="165" t="s">
        <v>64</v>
      </c>
      <c r="B337" s="405" t="s">
        <v>390</v>
      </c>
      <c r="C337" s="384" t="s">
        <v>459</v>
      </c>
      <c r="D337" s="365">
        <v>60100</v>
      </c>
      <c r="E337" s="368" t="s">
        <v>7</v>
      </c>
      <c r="F337" s="386">
        <f>'prévision 2017'!I339</f>
        <v>854460</v>
      </c>
      <c r="G337" s="386">
        <f>'prévision 2017'!H339</f>
        <v>0</v>
      </c>
      <c r="H337" s="167">
        <f>'prévision 2017'!G339</f>
        <v>854460</v>
      </c>
    </row>
    <row r="338" spans="1:8" ht="30" customHeight="1">
      <c r="A338" s="165" t="s">
        <v>64</v>
      </c>
      <c r="B338" s="411" t="s">
        <v>390</v>
      </c>
      <c r="C338" s="384" t="s">
        <v>459</v>
      </c>
      <c r="D338" s="365">
        <v>6122</v>
      </c>
      <c r="E338" s="389" t="s">
        <v>582</v>
      </c>
      <c r="F338" s="386">
        <f>'prévision 2017'!I340</f>
        <v>664580</v>
      </c>
      <c r="G338" s="386">
        <f>'prévision 2017'!H340</f>
        <v>0</v>
      </c>
      <c r="H338" s="167">
        <f>'prévision 2017'!G340</f>
        <v>664580</v>
      </c>
    </row>
    <row r="339" spans="1:8" ht="30" customHeight="1">
      <c r="A339" s="165" t="s">
        <v>64</v>
      </c>
      <c r="B339" s="411" t="s">
        <v>390</v>
      </c>
      <c r="C339" s="412" t="s">
        <v>459</v>
      </c>
      <c r="D339" s="379" t="s">
        <v>463</v>
      </c>
      <c r="F339" s="520">
        <f>SUM(F337:F338)</f>
        <v>1519040</v>
      </c>
      <c r="G339" s="520">
        <f>SUM(G337:G338)</f>
        <v>0</v>
      </c>
      <c r="H339" s="166">
        <f>SUM(H337:H338)</f>
        <v>1519040</v>
      </c>
    </row>
    <row r="340" spans="1:7" ht="30" customHeight="1">
      <c r="A340" s="165" t="s">
        <v>64</v>
      </c>
      <c r="B340" s="405" t="s">
        <v>391</v>
      </c>
      <c r="C340" s="427" t="s">
        <v>660</v>
      </c>
      <c r="F340" s="386"/>
      <c r="G340" s="596"/>
    </row>
    <row r="341" spans="1:8" ht="30" customHeight="1">
      <c r="A341" s="165" t="s">
        <v>64</v>
      </c>
      <c r="B341" s="405" t="s">
        <v>391</v>
      </c>
      <c r="C341" s="384" t="s">
        <v>459</v>
      </c>
      <c r="D341" s="365">
        <v>60100</v>
      </c>
      <c r="E341" s="368" t="s">
        <v>7</v>
      </c>
      <c r="F341" s="386">
        <f>'prévision 2017'!I343</f>
        <v>569640</v>
      </c>
      <c r="G341" s="386">
        <f>'prévision 2017'!H343</f>
        <v>0</v>
      </c>
      <c r="H341" s="167">
        <f>'prévision 2017'!G343</f>
        <v>569640</v>
      </c>
    </row>
    <row r="342" spans="1:8" ht="30" customHeight="1">
      <c r="A342" s="165" t="s">
        <v>64</v>
      </c>
      <c r="B342" s="411" t="s">
        <v>391</v>
      </c>
      <c r="C342" s="384" t="s">
        <v>459</v>
      </c>
      <c r="D342" s="365">
        <v>6122</v>
      </c>
      <c r="E342" s="389" t="s">
        <v>582</v>
      </c>
      <c r="F342" s="386">
        <f>'prévision 2017'!I344</f>
        <v>474700</v>
      </c>
      <c r="G342" s="386">
        <f>'prévision 2017'!H344</f>
        <v>0</v>
      </c>
      <c r="H342" s="167">
        <f>'prévision 2017'!G344</f>
        <v>474700</v>
      </c>
    </row>
    <row r="343" spans="1:8" ht="30" customHeight="1">
      <c r="A343" s="165" t="s">
        <v>64</v>
      </c>
      <c r="B343" s="411" t="s">
        <v>391</v>
      </c>
      <c r="C343" s="412" t="s">
        <v>459</v>
      </c>
      <c r="D343" s="379" t="s">
        <v>463</v>
      </c>
      <c r="F343" s="520">
        <f>SUM(F341:F342)</f>
        <v>1044340</v>
      </c>
      <c r="G343" s="520">
        <f>SUM(G341:G342)</f>
        <v>0</v>
      </c>
      <c r="H343" s="166">
        <f>SUM(H341:H342)</f>
        <v>1044340</v>
      </c>
    </row>
    <row r="344" spans="1:7" ht="30" customHeight="1">
      <c r="A344" s="165" t="s">
        <v>64</v>
      </c>
      <c r="B344" s="405" t="s">
        <v>392</v>
      </c>
      <c r="C344" s="427" t="s">
        <v>661</v>
      </c>
      <c r="F344" s="386"/>
      <c r="G344" s="596"/>
    </row>
    <row r="345" spans="1:8" ht="30" customHeight="1">
      <c r="A345" s="418" t="s">
        <v>64</v>
      </c>
      <c r="B345" s="405" t="s">
        <v>392</v>
      </c>
      <c r="C345" s="384" t="s">
        <v>459</v>
      </c>
      <c r="D345" s="365">
        <v>60100</v>
      </c>
      <c r="E345" s="368" t="s">
        <v>7</v>
      </c>
      <c r="F345" s="386">
        <f>'prévision 2017'!I347</f>
        <v>470000</v>
      </c>
      <c r="G345" s="386">
        <f>'prévision 2017'!H347</f>
        <v>0</v>
      </c>
      <c r="H345" s="167">
        <f>'prévision 2017'!G347</f>
        <v>470000</v>
      </c>
    </row>
    <row r="346" spans="1:8" ht="30" customHeight="1">
      <c r="A346" s="418" t="s">
        <v>64</v>
      </c>
      <c r="B346" s="411" t="s">
        <v>392</v>
      </c>
      <c r="C346" s="384" t="s">
        <v>459</v>
      </c>
      <c r="D346" s="365">
        <v>6122</v>
      </c>
      <c r="E346" s="389" t="s">
        <v>582</v>
      </c>
      <c r="F346" s="386">
        <f>'prévision 2017'!I348</f>
        <v>376000</v>
      </c>
      <c r="G346" s="386">
        <f>'prévision 2017'!H348</f>
        <v>0</v>
      </c>
      <c r="H346" s="167">
        <f>'prévision 2017'!G348</f>
        <v>376000</v>
      </c>
    </row>
    <row r="347" spans="1:8" ht="30" customHeight="1">
      <c r="A347" s="165" t="s">
        <v>64</v>
      </c>
      <c r="B347" s="411" t="s">
        <v>392</v>
      </c>
      <c r="C347" s="412" t="s">
        <v>459</v>
      </c>
      <c r="D347" s="379" t="s">
        <v>463</v>
      </c>
      <c r="F347" s="520">
        <f>SUM(F345:F346)</f>
        <v>846000</v>
      </c>
      <c r="G347" s="520">
        <f>SUM(G345:G346)</f>
        <v>0</v>
      </c>
      <c r="H347" s="166">
        <f>SUM(H345:H346)</f>
        <v>846000</v>
      </c>
    </row>
    <row r="348" spans="1:7" ht="30" customHeight="1">
      <c r="A348" s="165" t="s">
        <v>64</v>
      </c>
      <c r="B348" s="405" t="s">
        <v>393</v>
      </c>
      <c r="C348" s="427" t="s">
        <v>74</v>
      </c>
      <c r="F348" s="386"/>
      <c r="G348" s="596"/>
    </row>
    <row r="349" spans="1:8" ht="30" customHeight="1">
      <c r="A349" s="165" t="s">
        <v>64</v>
      </c>
      <c r="B349" s="405" t="s">
        <v>393</v>
      </c>
      <c r="C349" s="384" t="s">
        <v>477</v>
      </c>
      <c r="D349" s="365">
        <v>60100</v>
      </c>
      <c r="E349" s="368" t="s">
        <v>7</v>
      </c>
      <c r="F349" s="386">
        <f>'prévision 2017'!I351</f>
        <v>470000</v>
      </c>
      <c r="G349" s="386">
        <f>'prévision 2017'!H351</f>
        <v>0</v>
      </c>
      <c r="H349" s="158">
        <f>'prévision 2017'!G351</f>
        <v>470000</v>
      </c>
    </row>
    <row r="350" spans="1:8" ht="30" customHeight="1">
      <c r="A350" s="165" t="s">
        <v>64</v>
      </c>
      <c r="B350" s="411" t="s">
        <v>393</v>
      </c>
      <c r="C350" s="384" t="s">
        <v>477</v>
      </c>
      <c r="D350" s="365">
        <v>6022</v>
      </c>
      <c r="E350" s="368" t="s">
        <v>75</v>
      </c>
      <c r="F350" s="386">
        <f>'prévision 2017'!I352</f>
        <v>0</v>
      </c>
      <c r="G350" s="386">
        <f>'prévision 2017'!H352</f>
        <v>0</v>
      </c>
      <c r="H350" s="158">
        <f>'prévision 2017'!G352</f>
        <v>0</v>
      </c>
    </row>
    <row r="351" spans="1:8" ht="30" customHeight="1">
      <c r="A351" s="418" t="s">
        <v>64</v>
      </c>
      <c r="B351" s="411" t="s">
        <v>393</v>
      </c>
      <c r="C351" s="384" t="s">
        <v>477</v>
      </c>
      <c r="D351" s="365">
        <v>6041</v>
      </c>
      <c r="E351" s="368" t="s">
        <v>8</v>
      </c>
      <c r="F351" s="386">
        <f>'prévision 2017'!I353</f>
        <v>0</v>
      </c>
      <c r="G351" s="386">
        <f>'prévision 2017'!H353</f>
        <v>0</v>
      </c>
      <c r="H351" s="158">
        <f>'prévision 2017'!G353</f>
        <v>0</v>
      </c>
    </row>
    <row r="352" spans="1:8" ht="30" customHeight="1">
      <c r="A352" s="165" t="s">
        <v>64</v>
      </c>
      <c r="B352" s="411" t="s">
        <v>393</v>
      </c>
      <c r="C352" s="384" t="s">
        <v>477</v>
      </c>
      <c r="D352" s="365">
        <v>6122</v>
      </c>
      <c r="E352" s="389" t="s">
        <v>582</v>
      </c>
      <c r="F352" s="386">
        <f>'prévision 2017'!I354</f>
        <v>376000</v>
      </c>
      <c r="G352" s="386">
        <f>'prévision 2017'!H354</f>
        <v>0</v>
      </c>
      <c r="H352" s="158">
        <f>'prévision 2017'!G354</f>
        <v>376000</v>
      </c>
    </row>
    <row r="353" spans="1:8" ht="30" customHeight="1">
      <c r="A353" s="418" t="s">
        <v>64</v>
      </c>
      <c r="B353" s="411" t="s">
        <v>393</v>
      </c>
      <c r="C353" s="384" t="s">
        <v>477</v>
      </c>
      <c r="D353" s="365">
        <v>6152</v>
      </c>
      <c r="E353" s="368" t="s">
        <v>263</v>
      </c>
      <c r="F353" s="386">
        <f>'prévision 2017'!I355</f>
        <v>0</v>
      </c>
      <c r="G353" s="386">
        <f>'prévision 2017'!H355</f>
        <v>0</v>
      </c>
      <c r="H353" s="158">
        <f>'prévision 2017'!G355</f>
        <v>0</v>
      </c>
    </row>
    <row r="354" spans="1:9" ht="30" customHeight="1">
      <c r="A354" s="165" t="s">
        <v>64</v>
      </c>
      <c r="B354" s="411" t="s">
        <v>393</v>
      </c>
      <c r="C354" s="412" t="s">
        <v>477</v>
      </c>
      <c r="D354" s="379" t="s">
        <v>463</v>
      </c>
      <c r="F354" s="386">
        <f>SUM(F349:F353)</f>
        <v>846000</v>
      </c>
      <c r="G354" s="386">
        <f>SUM(G349:G353)</f>
        <v>0</v>
      </c>
      <c r="H354" s="166">
        <f>SUM(H349:H353)</f>
        <v>846000</v>
      </c>
      <c r="I354" s="166"/>
    </row>
    <row r="355" spans="1:7" ht="30" customHeight="1">
      <c r="A355" s="165" t="s">
        <v>64</v>
      </c>
      <c r="B355" s="405" t="s">
        <v>394</v>
      </c>
      <c r="C355" s="427" t="s">
        <v>76</v>
      </c>
      <c r="F355" s="386"/>
      <c r="G355" s="596"/>
    </row>
    <row r="356" spans="1:8" ht="30" customHeight="1">
      <c r="A356" s="165" t="s">
        <v>64</v>
      </c>
      <c r="B356" s="405" t="s">
        <v>394</v>
      </c>
      <c r="C356" s="384" t="s">
        <v>459</v>
      </c>
      <c r="D356" s="365">
        <v>60100</v>
      </c>
      <c r="E356" s="368" t="s">
        <v>7</v>
      </c>
      <c r="F356" s="386">
        <f>'prévision 2017'!I358</f>
        <v>0</v>
      </c>
      <c r="G356" s="596"/>
      <c r="H356" s="158">
        <f>'prévision 2017'!G358</f>
        <v>0</v>
      </c>
    </row>
    <row r="357" spans="1:8" ht="30" customHeight="1">
      <c r="A357" s="165" t="s">
        <v>64</v>
      </c>
      <c r="B357" s="411" t="s">
        <v>394</v>
      </c>
      <c r="C357" s="384" t="s">
        <v>459</v>
      </c>
      <c r="D357" s="365">
        <v>6122</v>
      </c>
      <c r="E357" s="389" t="s">
        <v>582</v>
      </c>
      <c r="F357" s="386">
        <f>'prévision 2017'!I359</f>
        <v>0</v>
      </c>
      <c r="G357" s="596"/>
      <c r="H357" s="158">
        <f>'prévision 2017'!G359</f>
        <v>0</v>
      </c>
    </row>
    <row r="358" spans="1:8" ht="30" customHeight="1">
      <c r="A358" s="165" t="s">
        <v>64</v>
      </c>
      <c r="B358" s="405" t="s">
        <v>394</v>
      </c>
      <c r="C358" s="412" t="s">
        <v>459</v>
      </c>
      <c r="D358" s="379" t="s">
        <v>463</v>
      </c>
      <c r="F358" s="386">
        <f>SUM(F356:F357)</f>
        <v>0</v>
      </c>
      <c r="G358" s="596"/>
      <c r="H358" s="379">
        <f>SUM(H356:H357)</f>
        <v>0</v>
      </c>
    </row>
    <row r="359" spans="1:7" ht="30" customHeight="1">
      <c r="A359" s="165" t="s">
        <v>64</v>
      </c>
      <c r="B359" s="405" t="s">
        <v>395</v>
      </c>
      <c r="C359" s="427" t="s">
        <v>77</v>
      </c>
      <c r="F359" s="386"/>
      <c r="G359" s="596"/>
    </row>
    <row r="360" spans="1:8" ht="30" customHeight="1">
      <c r="A360" s="165" t="s">
        <v>64</v>
      </c>
      <c r="B360" s="405" t="s">
        <v>395</v>
      </c>
      <c r="C360" s="384" t="s">
        <v>459</v>
      </c>
      <c r="D360" s="365">
        <v>6611</v>
      </c>
      <c r="E360" s="368" t="s">
        <v>6</v>
      </c>
      <c r="F360" s="386">
        <f>'prévision 2017'!I362</f>
        <v>29040396</v>
      </c>
      <c r="G360" s="386">
        <f>'prévision 2017'!H362</f>
        <v>24784966.810000002</v>
      </c>
      <c r="H360" s="158">
        <f>'prévision 2017'!G362</f>
        <v>29040396</v>
      </c>
    </row>
    <row r="361" spans="1:8" ht="30" customHeight="1">
      <c r="A361" s="165" t="s">
        <v>64</v>
      </c>
      <c r="B361" s="405" t="s">
        <v>395</v>
      </c>
      <c r="C361" s="384" t="s">
        <v>459</v>
      </c>
      <c r="D361" s="365">
        <v>60100</v>
      </c>
      <c r="E361" s="368" t="s">
        <v>7</v>
      </c>
      <c r="F361" s="386">
        <f>'prévision 2017'!I363</f>
        <v>664580</v>
      </c>
      <c r="G361" s="386">
        <f>'prévision 2017'!H363</f>
        <v>0</v>
      </c>
      <c r="H361" s="428">
        <f>'prévision 2017'!G363</f>
        <v>664580</v>
      </c>
    </row>
    <row r="362" spans="1:8" ht="30" customHeight="1">
      <c r="A362" s="165" t="s">
        <v>64</v>
      </c>
      <c r="B362" s="411" t="s">
        <v>395</v>
      </c>
      <c r="C362" s="384" t="s">
        <v>459</v>
      </c>
      <c r="D362" s="365">
        <v>60101</v>
      </c>
      <c r="E362" s="368" t="s">
        <v>264</v>
      </c>
      <c r="F362" s="386">
        <f>'prévision 2017'!I364</f>
        <v>474700</v>
      </c>
      <c r="G362" s="386">
        <f>'prévision 2017'!H364</f>
        <v>0</v>
      </c>
      <c r="H362" s="428">
        <f>'prévision 2017'!G364</f>
        <v>474700</v>
      </c>
    </row>
    <row r="363" spans="1:8" ht="30" customHeight="1">
      <c r="A363" s="165" t="s">
        <v>64</v>
      </c>
      <c r="B363" s="411" t="s">
        <v>396</v>
      </c>
      <c r="C363" s="384" t="s">
        <v>459</v>
      </c>
      <c r="D363" s="365">
        <v>6041</v>
      </c>
      <c r="E363" s="368" t="s">
        <v>8</v>
      </c>
      <c r="F363" s="386">
        <f>'prévision 2017'!I365</f>
        <v>0</v>
      </c>
      <c r="G363" s="386">
        <f>'prévision 2017'!H365</f>
        <v>0</v>
      </c>
      <c r="H363" s="428">
        <f>'prévision 2017'!G365</f>
        <v>0</v>
      </c>
    </row>
    <row r="364" spans="1:8" ht="30" customHeight="1">
      <c r="A364" s="165" t="s">
        <v>64</v>
      </c>
      <c r="B364" s="411" t="s">
        <v>395</v>
      </c>
      <c r="C364" s="384" t="s">
        <v>459</v>
      </c>
      <c r="D364" s="365">
        <v>6122</v>
      </c>
      <c r="E364" s="389" t="s">
        <v>582</v>
      </c>
      <c r="F364" s="386">
        <f>'prévision 2017'!I366</f>
        <v>379760</v>
      </c>
      <c r="G364" s="386">
        <f>'prévision 2017'!H366</f>
        <v>0</v>
      </c>
      <c r="H364" s="428">
        <f>'prévision 2017'!G366</f>
        <v>379760</v>
      </c>
    </row>
    <row r="365" spans="1:8" ht="30" customHeight="1">
      <c r="A365" s="165" t="s">
        <v>64</v>
      </c>
      <c r="B365" s="411" t="s">
        <v>395</v>
      </c>
      <c r="C365" s="412" t="s">
        <v>459</v>
      </c>
      <c r="D365" s="379" t="s">
        <v>463</v>
      </c>
      <c r="F365" s="520">
        <f>SUM(F360:F364)</f>
        <v>30559436</v>
      </c>
      <c r="G365" s="520">
        <f>SUM(G360:G364)</f>
        <v>24784966.810000002</v>
      </c>
      <c r="H365" s="429">
        <f>SUM(H360:H364)</f>
        <v>30559436</v>
      </c>
    </row>
    <row r="366" spans="1:7" ht="30" customHeight="1">
      <c r="A366" s="165" t="s">
        <v>64</v>
      </c>
      <c r="B366" s="405" t="s">
        <v>396</v>
      </c>
      <c r="C366" s="427" t="s">
        <v>78</v>
      </c>
      <c r="F366" s="386"/>
      <c r="G366" s="596"/>
    </row>
    <row r="367" spans="1:8" ht="30" customHeight="1">
      <c r="A367" s="165" t="s">
        <v>64</v>
      </c>
      <c r="B367" s="405" t="s">
        <v>396</v>
      </c>
      <c r="C367" s="384" t="s">
        <v>459</v>
      </c>
      <c r="D367" s="365">
        <v>6611</v>
      </c>
      <c r="E367" s="368" t="s">
        <v>6</v>
      </c>
      <c r="F367" s="386">
        <f>'prévision 2017'!I369</f>
        <v>21085066</v>
      </c>
      <c r="G367" s="386">
        <f>'prévision 2017'!H369</f>
        <v>21075799.849999998</v>
      </c>
      <c r="H367" s="167">
        <f>'prévision 2017'!G369</f>
        <v>21085066</v>
      </c>
    </row>
    <row r="368" spans="1:8" ht="30" customHeight="1">
      <c r="A368" s="165" t="s">
        <v>64</v>
      </c>
      <c r="B368" s="411" t="s">
        <v>396</v>
      </c>
      <c r="C368" s="384" t="s">
        <v>459</v>
      </c>
      <c r="D368" s="365">
        <v>60100</v>
      </c>
      <c r="E368" s="368" t="s">
        <v>7</v>
      </c>
      <c r="F368" s="386">
        <f>'prévision 2017'!I370</f>
        <v>664580</v>
      </c>
      <c r="G368" s="386">
        <f>'prévision 2017'!H370</f>
        <v>664575</v>
      </c>
      <c r="H368" s="167">
        <f>'prévision 2017'!G370</f>
        <v>664580</v>
      </c>
    </row>
    <row r="369" spans="1:8" ht="30" customHeight="1">
      <c r="A369" s="165" t="s">
        <v>64</v>
      </c>
      <c r="B369" s="411" t="s">
        <v>396</v>
      </c>
      <c r="C369" s="384" t="s">
        <v>459</v>
      </c>
      <c r="D369" s="365">
        <v>6122</v>
      </c>
      <c r="E369" s="389" t="s">
        <v>582</v>
      </c>
      <c r="F369" s="386">
        <f>'prévision 2017'!I371</f>
        <v>474700</v>
      </c>
      <c r="G369" s="386">
        <f>'prévision 2017'!H371</f>
        <v>474700</v>
      </c>
      <c r="H369" s="167">
        <f>'prévision 2017'!G371</f>
        <v>474700</v>
      </c>
    </row>
    <row r="370" spans="1:8" ht="30" customHeight="1">
      <c r="A370" s="165" t="s">
        <v>64</v>
      </c>
      <c r="B370" s="411" t="s">
        <v>396</v>
      </c>
      <c r="C370" s="384" t="s">
        <v>459</v>
      </c>
      <c r="D370" s="365">
        <v>6133</v>
      </c>
      <c r="E370" s="368" t="s">
        <v>79</v>
      </c>
      <c r="F370" s="386">
        <f>'prévision 2017'!I372</f>
        <v>474700</v>
      </c>
      <c r="G370" s="386">
        <f>'prévision 2017'!H372</f>
        <v>474700</v>
      </c>
      <c r="H370" s="167">
        <f>'prévision 2017'!G372</f>
        <v>474700</v>
      </c>
    </row>
    <row r="371" spans="1:8" ht="30" customHeight="1">
      <c r="A371" s="165" t="s">
        <v>64</v>
      </c>
      <c r="B371" s="411" t="s">
        <v>396</v>
      </c>
      <c r="C371" s="384" t="s">
        <v>459</v>
      </c>
      <c r="D371" s="365">
        <v>6381</v>
      </c>
      <c r="E371" s="368" t="s">
        <v>591</v>
      </c>
      <c r="F371" s="386">
        <f>'prévision 2017'!I373</f>
        <v>28724040</v>
      </c>
      <c r="G371" s="386">
        <f>'prévision 2017'!H373</f>
        <v>28720000</v>
      </c>
      <c r="H371" s="167">
        <f>'prévision 2017'!G373</f>
        <v>28724040</v>
      </c>
    </row>
    <row r="372" spans="1:8" ht="30" customHeight="1">
      <c r="A372" s="165" t="s">
        <v>64</v>
      </c>
      <c r="B372" s="411" t="s">
        <v>396</v>
      </c>
      <c r="C372" s="412" t="s">
        <v>459</v>
      </c>
      <c r="D372" s="379" t="s">
        <v>463</v>
      </c>
      <c r="F372" s="520">
        <f>SUM(F367:F371)</f>
        <v>51423086</v>
      </c>
      <c r="G372" s="520">
        <f>SUM(G367:G371)</f>
        <v>51409774.849999994</v>
      </c>
      <c r="H372" s="166">
        <f>SUM(H367:H371)</f>
        <v>51423086</v>
      </c>
    </row>
    <row r="373" spans="1:7" ht="30" customHeight="1">
      <c r="A373" s="165" t="s">
        <v>64</v>
      </c>
      <c r="B373" s="405" t="s">
        <v>397</v>
      </c>
      <c r="C373" s="427" t="s">
        <v>80</v>
      </c>
      <c r="F373" s="386"/>
      <c r="G373" s="596"/>
    </row>
    <row r="374" spans="1:8" ht="30" customHeight="1">
      <c r="A374" s="165" t="s">
        <v>64</v>
      </c>
      <c r="B374" s="405" t="s">
        <v>397</v>
      </c>
      <c r="C374" s="384" t="s">
        <v>478</v>
      </c>
      <c r="D374" s="365">
        <v>60100</v>
      </c>
      <c r="E374" s="368" t="s">
        <v>7</v>
      </c>
      <c r="F374" s="386">
        <f>'prévision 2017'!I376</f>
        <v>846000</v>
      </c>
      <c r="G374" s="386">
        <f>'prévision 2017'!H376</f>
        <v>0</v>
      </c>
      <c r="H374" s="167">
        <f>'prévision 2017'!G376</f>
        <v>846000</v>
      </c>
    </row>
    <row r="375" spans="1:8" ht="30" customHeight="1">
      <c r="A375" s="165" t="s">
        <v>64</v>
      </c>
      <c r="B375" s="411" t="s">
        <v>397</v>
      </c>
      <c r="C375" s="384" t="s">
        <v>478</v>
      </c>
      <c r="D375" s="365">
        <v>6122</v>
      </c>
      <c r="E375" s="389" t="s">
        <v>582</v>
      </c>
      <c r="F375" s="386">
        <f>'prévision 2017'!I377</f>
        <v>564000</v>
      </c>
      <c r="G375" s="386">
        <f>'prévision 2017'!H377</f>
        <v>320000</v>
      </c>
      <c r="H375" s="167">
        <f>'prévision 2017'!G377</f>
        <v>564000</v>
      </c>
    </row>
    <row r="376" spans="1:8" ht="30" customHeight="1">
      <c r="A376" s="165" t="s">
        <v>64</v>
      </c>
      <c r="B376" s="411" t="s">
        <v>397</v>
      </c>
      <c r="C376" s="412" t="s">
        <v>478</v>
      </c>
      <c r="D376" s="379" t="s">
        <v>463</v>
      </c>
      <c r="F376" s="520">
        <f>SUM(F374:F375)</f>
        <v>1410000</v>
      </c>
      <c r="G376" s="520">
        <f>SUM(G374:G375)</f>
        <v>320000</v>
      </c>
      <c r="H376" s="166">
        <f>SUM(H374:H375)</f>
        <v>1410000</v>
      </c>
    </row>
    <row r="377" spans="1:7" ht="30" customHeight="1">
      <c r="A377" s="165" t="s">
        <v>64</v>
      </c>
      <c r="B377" s="405" t="s">
        <v>398</v>
      </c>
      <c r="C377" s="430" t="s">
        <v>320</v>
      </c>
      <c r="F377" s="386"/>
      <c r="G377" s="596"/>
    </row>
    <row r="378" spans="1:8" ht="30" customHeight="1">
      <c r="A378" s="165" t="s">
        <v>64</v>
      </c>
      <c r="B378" s="405" t="s">
        <v>398</v>
      </c>
      <c r="C378" s="431" t="s">
        <v>459</v>
      </c>
      <c r="D378" s="365">
        <v>6611</v>
      </c>
      <c r="E378" s="368" t="s">
        <v>6</v>
      </c>
      <c r="F378" s="386">
        <f>'prévision 2017'!I380</f>
        <v>7920000</v>
      </c>
      <c r="G378" s="386">
        <f>'prévision 2017'!H380</f>
        <v>7249166.749999999</v>
      </c>
      <c r="H378" s="386">
        <f>'prévision 2017'!G380</f>
        <v>7920000</v>
      </c>
    </row>
    <row r="379" spans="1:8" ht="30" customHeight="1">
      <c r="A379" s="165" t="s">
        <v>64</v>
      </c>
      <c r="B379" s="405" t="s">
        <v>398</v>
      </c>
      <c r="C379" s="384" t="s">
        <v>459</v>
      </c>
      <c r="D379" s="365">
        <v>60100</v>
      </c>
      <c r="E379" s="368" t="s">
        <v>47</v>
      </c>
      <c r="F379" s="386">
        <f>'prévision 2017'!I381</f>
        <v>759520</v>
      </c>
      <c r="G379" s="386">
        <f>'prévision 2017'!H381</f>
        <v>269500</v>
      </c>
      <c r="H379" s="167">
        <f>'prévision 2017'!G381</f>
        <v>759520</v>
      </c>
    </row>
    <row r="380" spans="1:8" ht="30" customHeight="1">
      <c r="A380" s="165" t="s">
        <v>64</v>
      </c>
      <c r="B380" s="411" t="s">
        <v>398</v>
      </c>
      <c r="C380" s="384" t="s">
        <v>459</v>
      </c>
      <c r="D380" s="365">
        <v>6122</v>
      </c>
      <c r="E380" s="389" t="s">
        <v>582</v>
      </c>
      <c r="F380" s="386">
        <f>'prévision 2017'!I382</f>
        <v>569640</v>
      </c>
      <c r="G380" s="386">
        <f>'prévision 2017'!H382</f>
        <v>530500</v>
      </c>
      <c r="H380" s="167">
        <f>'prévision 2017'!G382</f>
        <v>569640</v>
      </c>
    </row>
    <row r="381" spans="1:8" ht="30" customHeight="1">
      <c r="A381" s="165" t="s">
        <v>64</v>
      </c>
      <c r="B381" s="411" t="s">
        <v>398</v>
      </c>
      <c r="C381" s="412" t="s">
        <v>459</v>
      </c>
      <c r="D381" s="379" t="s">
        <v>463</v>
      </c>
      <c r="F381" s="520">
        <f>SUM(F378:F380)</f>
        <v>9249160</v>
      </c>
      <c r="G381" s="520">
        <f>SUM(G378:G380)</f>
        <v>8049166.749999999</v>
      </c>
      <c r="H381" s="520">
        <f>SUM(H378:H380)</f>
        <v>9249160</v>
      </c>
    </row>
    <row r="382" spans="1:7" ht="30" customHeight="1">
      <c r="A382" s="165" t="s">
        <v>64</v>
      </c>
      <c r="B382" s="405" t="s">
        <v>399</v>
      </c>
      <c r="C382" s="427" t="s">
        <v>302</v>
      </c>
      <c r="F382" s="386"/>
      <c r="G382" s="596"/>
    </row>
    <row r="383" spans="1:8" ht="30" customHeight="1">
      <c r="A383" s="165" t="s">
        <v>64</v>
      </c>
      <c r="B383" s="405" t="s">
        <v>399</v>
      </c>
      <c r="C383" s="384" t="s">
        <v>459</v>
      </c>
      <c r="D383" s="365">
        <v>6611</v>
      </c>
      <c r="E383" s="368" t="s">
        <v>6</v>
      </c>
      <c r="F383" s="386">
        <f>'prévision 2017'!I385</f>
        <v>19037600</v>
      </c>
      <c r="G383" s="386">
        <f>'prévision 2017'!H385</f>
        <v>11515633.35</v>
      </c>
      <c r="H383" s="167">
        <f>'prévision 2017'!G385</f>
        <v>19037600</v>
      </c>
    </row>
    <row r="384" spans="1:8" ht="30" customHeight="1">
      <c r="A384" s="165" t="s">
        <v>64</v>
      </c>
      <c r="B384" s="411" t="s">
        <v>399</v>
      </c>
      <c r="C384" s="384" t="s">
        <v>459</v>
      </c>
      <c r="D384" s="365">
        <v>60100</v>
      </c>
      <c r="E384" s="368" t="s">
        <v>34</v>
      </c>
      <c r="F384" s="386">
        <f>'prévision 2017'!I386</f>
        <v>569640</v>
      </c>
      <c r="G384" s="386">
        <f>'prévision 2017'!H386</f>
        <v>0</v>
      </c>
      <c r="H384" s="167">
        <f>'prévision 2017'!G386</f>
        <v>569640</v>
      </c>
    </row>
    <row r="385" spans="1:8" ht="30" customHeight="1">
      <c r="A385" s="165" t="s">
        <v>64</v>
      </c>
      <c r="B385" s="411" t="s">
        <v>399</v>
      </c>
      <c r="C385" s="384" t="s">
        <v>459</v>
      </c>
      <c r="D385" s="365">
        <v>6122</v>
      </c>
      <c r="E385" s="389" t="s">
        <v>582</v>
      </c>
      <c r="F385" s="386">
        <f>'prévision 2017'!I387</f>
        <v>474700</v>
      </c>
      <c r="G385" s="386">
        <f>'prévision 2017'!H387</f>
        <v>0</v>
      </c>
      <c r="H385" s="167">
        <f>'prévision 2017'!G387</f>
        <v>474700</v>
      </c>
    </row>
    <row r="386" spans="1:8" ht="30" customHeight="1">
      <c r="A386" s="165" t="s">
        <v>64</v>
      </c>
      <c r="B386" s="411" t="s">
        <v>399</v>
      </c>
      <c r="C386" s="412" t="s">
        <v>459</v>
      </c>
      <c r="D386" s="379" t="s">
        <v>463</v>
      </c>
      <c r="F386" s="520">
        <f>SUM(F383:F385)</f>
        <v>20081940</v>
      </c>
      <c r="G386" s="520">
        <f>SUM(G383:G385)</f>
        <v>11515633.35</v>
      </c>
      <c r="H386" s="166">
        <f>SUM(H383:H385)</f>
        <v>20081940</v>
      </c>
    </row>
    <row r="387" spans="1:7" ht="30" customHeight="1">
      <c r="A387" s="418" t="s">
        <v>64</v>
      </c>
      <c r="B387" s="405" t="s">
        <v>475</v>
      </c>
      <c r="C387" s="421" t="s">
        <v>242</v>
      </c>
      <c r="F387" s="386"/>
      <c r="G387" s="596"/>
    </row>
    <row r="388" spans="1:8" ht="30" customHeight="1">
      <c r="A388" s="418" t="s">
        <v>64</v>
      </c>
      <c r="B388" s="405" t="s">
        <v>475</v>
      </c>
      <c r="C388" s="384" t="s">
        <v>459</v>
      </c>
      <c r="D388" s="365">
        <v>6611</v>
      </c>
      <c r="E388" s="368" t="s">
        <v>6</v>
      </c>
      <c r="F388" s="386">
        <f>'prévision 2017'!I390</f>
        <v>0</v>
      </c>
      <c r="G388" s="386">
        <f>'prévision 2017'!H390</f>
        <v>0</v>
      </c>
      <c r="H388" s="428">
        <f>'prévision 2017'!G390</f>
        <v>0</v>
      </c>
    </row>
    <row r="389" spans="1:8" ht="30" customHeight="1">
      <c r="A389" s="418" t="s">
        <v>64</v>
      </c>
      <c r="B389" s="411" t="s">
        <v>475</v>
      </c>
      <c r="C389" s="384" t="s">
        <v>459</v>
      </c>
      <c r="D389" s="365">
        <v>60100</v>
      </c>
      <c r="E389" s="368" t="s">
        <v>7</v>
      </c>
      <c r="F389" s="386">
        <f>'prévision 2017'!I391</f>
        <v>1000000</v>
      </c>
      <c r="G389" s="386">
        <f>'prévision 2017'!H391</f>
        <v>0</v>
      </c>
      <c r="H389" s="428">
        <f>'prévision 2017'!G391</f>
        <v>1000000</v>
      </c>
    </row>
    <row r="390" spans="1:8" ht="30" customHeight="1">
      <c r="A390" s="418" t="s">
        <v>64</v>
      </c>
      <c r="B390" s="411" t="s">
        <v>475</v>
      </c>
      <c r="C390" s="384" t="s">
        <v>459</v>
      </c>
      <c r="D390" s="365">
        <v>6041</v>
      </c>
      <c r="E390" s="368" t="s">
        <v>8</v>
      </c>
      <c r="F390" s="386">
        <f>'prévision 2017'!I392</f>
        <v>0</v>
      </c>
      <c r="G390" s="386">
        <f>'prévision 2017'!H392</f>
        <v>0</v>
      </c>
      <c r="H390" s="428">
        <f>'prévision 2017'!G392</f>
        <v>0</v>
      </c>
    </row>
    <row r="391" spans="1:8" ht="30" customHeight="1">
      <c r="A391" s="418" t="s">
        <v>64</v>
      </c>
      <c r="B391" s="411" t="s">
        <v>475</v>
      </c>
      <c r="C391" s="384" t="s">
        <v>459</v>
      </c>
      <c r="D391" s="365">
        <v>6052</v>
      </c>
      <c r="E391" s="368" t="s">
        <v>592</v>
      </c>
      <c r="F391" s="386">
        <f>'prévision 2017'!I393</f>
        <v>0</v>
      </c>
      <c r="G391" s="386">
        <f>'prévision 2017'!H393</f>
        <v>0</v>
      </c>
      <c r="H391" s="428">
        <f>'prévision 2017'!G393</f>
        <v>0</v>
      </c>
    </row>
    <row r="392" spans="1:8" ht="30" customHeight="1">
      <c r="A392" s="418" t="s">
        <v>64</v>
      </c>
      <c r="B392" s="411" t="s">
        <v>475</v>
      </c>
      <c r="C392" s="384" t="s">
        <v>459</v>
      </c>
      <c r="D392" s="365">
        <v>6122</v>
      </c>
      <c r="E392" s="416" t="s">
        <v>582</v>
      </c>
      <c r="F392" s="386">
        <f>'prévision 2017'!I394</f>
        <v>1000000</v>
      </c>
      <c r="G392" s="386">
        <f>'prévision 2017'!H394</f>
        <v>450000</v>
      </c>
      <c r="H392" s="428">
        <f>'prévision 2017'!G394</f>
        <v>1000000</v>
      </c>
    </row>
    <row r="393" spans="1:8" ht="30" customHeight="1">
      <c r="A393" s="418" t="s">
        <v>64</v>
      </c>
      <c r="B393" s="411" t="s">
        <v>475</v>
      </c>
      <c r="C393" s="384" t="s">
        <v>459</v>
      </c>
      <c r="D393" s="365">
        <v>6152</v>
      </c>
      <c r="E393" s="368" t="s">
        <v>256</v>
      </c>
      <c r="F393" s="386">
        <f>'prévision 2017'!I395</f>
        <v>0</v>
      </c>
      <c r="G393" s="386">
        <f>'prévision 2017'!H395</f>
        <v>0</v>
      </c>
      <c r="H393" s="428">
        <f>'prévision 2017'!G395</f>
        <v>0</v>
      </c>
    </row>
    <row r="394" spans="1:8" ht="30" customHeight="1">
      <c r="A394" s="418" t="s">
        <v>64</v>
      </c>
      <c r="B394" s="411" t="s">
        <v>475</v>
      </c>
      <c r="C394" s="384" t="s">
        <v>459</v>
      </c>
      <c r="D394" s="365">
        <v>6173</v>
      </c>
      <c r="E394" s="368" t="s">
        <v>247</v>
      </c>
      <c r="F394" s="386">
        <f>'prévision 2017'!I396</f>
        <v>0</v>
      </c>
      <c r="G394" s="386">
        <f>'prévision 2017'!H396</f>
        <v>0</v>
      </c>
      <c r="H394" s="428">
        <f>'prévision 2017'!G396</f>
        <v>0</v>
      </c>
    </row>
    <row r="395" spans="1:8" ht="30" customHeight="1">
      <c r="A395" s="418" t="s">
        <v>64</v>
      </c>
      <c r="B395" s="411" t="s">
        <v>475</v>
      </c>
      <c r="C395" s="384" t="s">
        <v>459</v>
      </c>
      <c r="D395" s="365">
        <v>6171</v>
      </c>
      <c r="E395" s="368" t="s">
        <v>214</v>
      </c>
      <c r="F395" s="386">
        <f>'prévision 2017'!I397</f>
        <v>0</v>
      </c>
      <c r="G395" s="386">
        <f>'prévision 2017'!H397</f>
        <v>0</v>
      </c>
      <c r="H395" s="428">
        <f>'prévision 2017'!G397</f>
        <v>0</v>
      </c>
    </row>
    <row r="396" spans="1:8" ht="30" customHeight="1">
      <c r="A396" s="418" t="s">
        <v>64</v>
      </c>
      <c r="B396" s="411" t="s">
        <v>475</v>
      </c>
      <c r="C396" s="384" t="s">
        <v>459</v>
      </c>
      <c r="D396" s="365">
        <v>6175</v>
      </c>
      <c r="E396" s="368" t="s">
        <v>13</v>
      </c>
      <c r="F396" s="386">
        <f>'prévision 2017'!I398</f>
        <v>0</v>
      </c>
      <c r="G396" s="386">
        <f>'prévision 2017'!H398</f>
        <v>0</v>
      </c>
      <c r="H396" s="428">
        <f>'prévision 2017'!G398</f>
        <v>0</v>
      </c>
    </row>
    <row r="397" spans="1:8" ht="30" customHeight="1">
      <c r="A397" s="418" t="s">
        <v>64</v>
      </c>
      <c r="B397" s="411" t="s">
        <v>475</v>
      </c>
      <c r="C397" s="384" t="s">
        <v>459</v>
      </c>
      <c r="D397" s="365">
        <v>6433</v>
      </c>
      <c r="E397" s="368" t="s">
        <v>42</v>
      </c>
      <c r="F397" s="386">
        <f>'prévision 2017'!I399</f>
        <v>0</v>
      </c>
      <c r="G397" s="386">
        <f>'prévision 2017'!H399</f>
        <v>0</v>
      </c>
      <c r="H397" s="428">
        <f>'prévision 2017'!G399</f>
        <v>0</v>
      </c>
    </row>
    <row r="398" spans="1:8" ht="30" customHeight="1">
      <c r="A398" s="418" t="s">
        <v>64</v>
      </c>
      <c r="B398" s="411" t="s">
        <v>475</v>
      </c>
      <c r="C398" s="412" t="s">
        <v>459</v>
      </c>
      <c r="D398" s="379" t="s">
        <v>463</v>
      </c>
      <c r="F398" s="520">
        <f>SUM(F388:F397)</f>
        <v>2000000</v>
      </c>
      <c r="G398" s="520">
        <f>SUM(G388:G397)</f>
        <v>450000</v>
      </c>
      <c r="H398" s="414">
        <f>SUM(H388:H397)</f>
        <v>2000000</v>
      </c>
    </row>
    <row r="399" spans="1:7" ht="30" customHeight="1">
      <c r="A399" s="418" t="s">
        <v>64</v>
      </c>
      <c r="B399" s="405" t="s">
        <v>476</v>
      </c>
      <c r="C399" s="421" t="s">
        <v>62</v>
      </c>
      <c r="F399" s="386"/>
      <c r="G399" s="596"/>
    </row>
    <row r="400" spans="1:8" ht="30" customHeight="1">
      <c r="A400" s="418" t="s">
        <v>64</v>
      </c>
      <c r="B400" s="405" t="s">
        <v>476</v>
      </c>
      <c r="C400" s="384" t="s">
        <v>459</v>
      </c>
      <c r="D400" s="365">
        <v>2121</v>
      </c>
      <c r="E400" s="368" t="s">
        <v>593</v>
      </c>
      <c r="F400" s="386">
        <f>'prévision 2017'!I402</f>
        <v>83623400</v>
      </c>
      <c r="G400" s="386">
        <f>'prévision 2017'!H402</f>
        <v>5781500</v>
      </c>
      <c r="H400" s="167">
        <f>'prévision 2017'!G402</f>
        <v>83623400</v>
      </c>
    </row>
    <row r="401" spans="1:8" ht="30" customHeight="1">
      <c r="A401" s="418" t="s">
        <v>64</v>
      </c>
      <c r="B401" s="411" t="s">
        <v>476</v>
      </c>
      <c r="C401" s="384" t="s">
        <v>459</v>
      </c>
      <c r="D401" s="365">
        <v>2164</v>
      </c>
      <c r="E401" s="368" t="s">
        <v>340</v>
      </c>
      <c r="F401" s="386">
        <f>'prévision 2017'!I403</f>
        <v>0</v>
      </c>
      <c r="G401" s="386">
        <f>'prévision 2017'!H403</f>
        <v>0</v>
      </c>
      <c r="H401" s="167">
        <f>'prévision 2017'!G403</f>
        <v>596500000</v>
      </c>
    </row>
    <row r="402" spans="1:8" ht="30" customHeight="1">
      <c r="A402" s="418" t="s">
        <v>64</v>
      </c>
      <c r="B402" s="411" t="s">
        <v>476</v>
      </c>
      <c r="C402" s="412" t="s">
        <v>459</v>
      </c>
      <c r="D402" s="379" t="s">
        <v>463</v>
      </c>
      <c r="F402" s="520">
        <f>F400+F401</f>
        <v>83623400</v>
      </c>
      <c r="G402" s="520">
        <f>G400+G401</f>
        <v>5781500</v>
      </c>
      <c r="H402" s="166">
        <f>H400+H401</f>
        <v>680123400</v>
      </c>
    </row>
    <row r="403" spans="1:8" ht="30" customHeight="1">
      <c r="A403" s="165" t="s">
        <v>64</v>
      </c>
      <c r="B403" s="424" t="s">
        <v>72</v>
      </c>
      <c r="C403" s="156"/>
      <c r="F403" s="520">
        <f>F402+F398+F386+F376+F372+F365+F358+F354+F347+F343+F339+F335+F331+F326+F321+F312+F305+F298+F381</f>
        <v>1040325779</v>
      </c>
      <c r="G403" s="520">
        <f>G402+G398+G386+G376+G372+G365+G358+G354+G347+G343+G339+G335+G331+G326+G321+G312+G305+G298+G381</f>
        <v>855743779.3000001</v>
      </c>
      <c r="H403" s="166">
        <f>H402+H398+H386+H376+H372+H365+H358+H354+H347+H343+H339+H335+H331+H326+H321+H312+H305+H298+H381</f>
        <v>1636825779</v>
      </c>
    </row>
    <row r="404" spans="1:7" ht="30" customHeight="1">
      <c r="A404" s="387" t="s">
        <v>81</v>
      </c>
      <c r="B404" s="432" t="s">
        <v>542</v>
      </c>
      <c r="C404" s="156"/>
      <c r="F404" s="386"/>
      <c r="G404" s="596"/>
    </row>
    <row r="405" spans="1:7" ht="30" customHeight="1">
      <c r="A405" s="387" t="s">
        <v>81</v>
      </c>
      <c r="B405" s="405" t="s">
        <v>400</v>
      </c>
      <c r="C405" s="413" t="s">
        <v>82</v>
      </c>
      <c r="F405" s="386"/>
      <c r="G405" s="596"/>
    </row>
    <row r="406" spans="1:8" ht="30" customHeight="1">
      <c r="A406" s="165" t="s">
        <v>81</v>
      </c>
      <c r="B406" s="405" t="s">
        <v>400</v>
      </c>
      <c r="C406" s="384" t="s">
        <v>481</v>
      </c>
      <c r="D406" s="365">
        <v>6611</v>
      </c>
      <c r="E406" s="368" t="s">
        <v>6</v>
      </c>
      <c r="F406" s="386">
        <f>'prévision 2017'!I408</f>
        <v>104523072</v>
      </c>
      <c r="G406" s="386">
        <f>'prévision 2017'!H408</f>
        <v>74745343.37</v>
      </c>
      <c r="H406" s="158">
        <f>'prévision 2017'!G408</f>
        <v>104523072</v>
      </c>
    </row>
    <row r="407" spans="1:8" ht="30" customHeight="1">
      <c r="A407" s="165" t="s">
        <v>81</v>
      </c>
      <c r="B407" s="411" t="s">
        <v>400</v>
      </c>
      <c r="C407" s="384" t="s">
        <v>481</v>
      </c>
      <c r="D407" s="365">
        <v>60100</v>
      </c>
      <c r="E407" s="368" t="s">
        <v>34</v>
      </c>
      <c r="F407" s="386">
        <f>'prévision 2017'!I409</f>
        <v>2503000</v>
      </c>
      <c r="G407" s="386">
        <f>'prévision 2017'!H409</f>
        <v>1438100</v>
      </c>
      <c r="H407" s="158">
        <f>'prévision 2017'!G409</f>
        <v>2503000</v>
      </c>
    </row>
    <row r="408" spans="1:8" ht="30" customHeight="1">
      <c r="A408" s="165" t="s">
        <v>81</v>
      </c>
      <c r="B408" s="411" t="s">
        <v>400</v>
      </c>
      <c r="C408" s="384" t="s">
        <v>481</v>
      </c>
      <c r="D408" s="365">
        <v>6122</v>
      </c>
      <c r="E408" s="389" t="s">
        <v>582</v>
      </c>
      <c r="F408" s="386">
        <f>'prévision 2017'!I410</f>
        <v>2006000</v>
      </c>
      <c r="G408" s="386">
        <f>'prévision 2017'!H410</f>
        <v>1001000</v>
      </c>
      <c r="H408" s="158">
        <f>'prévision 2017'!G410</f>
        <v>2006000</v>
      </c>
    </row>
    <row r="409" spans="1:8" ht="30" customHeight="1">
      <c r="A409" s="165" t="s">
        <v>81</v>
      </c>
      <c r="B409" s="411" t="s">
        <v>400</v>
      </c>
      <c r="C409" s="384" t="s">
        <v>481</v>
      </c>
      <c r="D409" s="365">
        <v>6133</v>
      </c>
      <c r="E409" s="368" t="s">
        <v>234</v>
      </c>
      <c r="F409" s="386">
        <f>'prévision 2017'!I411</f>
        <v>0</v>
      </c>
      <c r="G409" s="386">
        <f>'prévision 2017'!H411</f>
        <v>0</v>
      </c>
      <c r="H409" s="158">
        <f>'prévision 2017'!G411</f>
        <v>0</v>
      </c>
    </row>
    <row r="410" spans="1:8" ht="30" customHeight="1">
      <c r="A410" s="165" t="s">
        <v>81</v>
      </c>
      <c r="B410" s="411" t="s">
        <v>400</v>
      </c>
      <c r="C410" s="384" t="s">
        <v>481</v>
      </c>
      <c r="D410" s="365">
        <v>6138</v>
      </c>
      <c r="E410" s="368" t="s">
        <v>177</v>
      </c>
      <c r="F410" s="386">
        <f>'prévision 2017'!I412</f>
        <v>0</v>
      </c>
      <c r="G410" s="386">
        <f>'prévision 2017'!H412</f>
        <v>0</v>
      </c>
      <c r="H410" s="158">
        <f>'prévision 2017'!G412</f>
        <v>0</v>
      </c>
    </row>
    <row r="411" spans="1:8" ht="30" customHeight="1">
      <c r="A411" s="165" t="s">
        <v>81</v>
      </c>
      <c r="B411" s="411" t="s">
        <v>400</v>
      </c>
      <c r="C411" s="384" t="s">
        <v>481</v>
      </c>
      <c r="D411" s="365">
        <v>6143</v>
      </c>
      <c r="E411" s="368" t="s">
        <v>292</v>
      </c>
      <c r="F411" s="386">
        <f>'prévision 2017'!I413</f>
        <v>1000000</v>
      </c>
      <c r="G411" s="386">
        <f>'prévision 2017'!H413</f>
        <v>0</v>
      </c>
      <c r="H411" s="158">
        <f>'prévision 2017'!G413</f>
        <v>1000000</v>
      </c>
    </row>
    <row r="412" spans="1:8" ht="30" customHeight="1">
      <c r="A412" s="418" t="s">
        <v>81</v>
      </c>
      <c r="B412" s="411" t="s">
        <v>400</v>
      </c>
      <c r="C412" s="384" t="s">
        <v>481</v>
      </c>
      <c r="D412" s="365">
        <v>6161</v>
      </c>
      <c r="E412" s="368" t="s">
        <v>275</v>
      </c>
      <c r="F412" s="386">
        <f>'prévision 2017'!I414</f>
        <v>0</v>
      </c>
      <c r="G412" s="386">
        <f>'prévision 2017'!H414</f>
        <v>0</v>
      </c>
      <c r="H412" s="158">
        <f>'prévision 2017'!G414</f>
        <v>0</v>
      </c>
    </row>
    <row r="413" spans="1:8" ht="30" customHeight="1">
      <c r="A413" s="165" t="s">
        <v>81</v>
      </c>
      <c r="B413" s="411" t="s">
        <v>400</v>
      </c>
      <c r="C413" s="384" t="s">
        <v>481</v>
      </c>
      <c r="D413" s="365">
        <v>6112</v>
      </c>
      <c r="E413" s="368" t="s">
        <v>48</v>
      </c>
      <c r="F413" s="386">
        <f>'prévision 2017'!I415</f>
        <v>0</v>
      </c>
      <c r="G413" s="386">
        <f>'prévision 2017'!H415</f>
        <v>0</v>
      </c>
      <c r="H413" s="158">
        <f>'prévision 2017'!G415</f>
        <v>0</v>
      </c>
    </row>
    <row r="414" spans="1:8" ht="30" customHeight="1">
      <c r="A414" s="165" t="s">
        <v>81</v>
      </c>
      <c r="B414" s="411" t="s">
        <v>400</v>
      </c>
      <c r="C414" s="384" t="s">
        <v>481</v>
      </c>
      <c r="D414" s="365">
        <v>6171</v>
      </c>
      <c r="E414" s="368" t="s">
        <v>233</v>
      </c>
      <c r="F414" s="386">
        <f>'prévision 2017'!I416</f>
        <v>0</v>
      </c>
      <c r="G414" s="386">
        <f>'prévision 2017'!H416</f>
        <v>0</v>
      </c>
      <c r="H414" s="158">
        <f>'prévision 2017'!G416</f>
        <v>0</v>
      </c>
    </row>
    <row r="415" spans="1:8" ht="30" customHeight="1">
      <c r="A415" s="165" t="s">
        <v>81</v>
      </c>
      <c r="B415" s="411" t="s">
        <v>400</v>
      </c>
      <c r="C415" s="384" t="s">
        <v>481</v>
      </c>
      <c r="D415" s="365">
        <v>6173</v>
      </c>
      <c r="E415" s="368" t="s">
        <v>19</v>
      </c>
      <c r="F415" s="386">
        <f>'prévision 2017'!I417</f>
        <v>1500000</v>
      </c>
      <c r="G415" s="386">
        <f>'prévision 2017'!H417</f>
        <v>1099950</v>
      </c>
      <c r="H415" s="158">
        <f>'prévision 2017'!G417</f>
        <v>1500000</v>
      </c>
    </row>
    <row r="416" spans="1:8" ht="30" customHeight="1">
      <c r="A416" s="165" t="s">
        <v>81</v>
      </c>
      <c r="B416" s="411" t="s">
        <v>400</v>
      </c>
      <c r="C416" s="384" t="s">
        <v>481</v>
      </c>
      <c r="D416" s="365">
        <v>6175</v>
      </c>
      <c r="E416" s="368" t="s">
        <v>13</v>
      </c>
      <c r="F416" s="386">
        <f>'prévision 2017'!I418</f>
        <v>2004000</v>
      </c>
      <c r="G416" s="386">
        <f>'prévision 2017'!H418</f>
        <v>559850</v>
      </c>
      <c r="H416" s="158">
        <f>'prévision 2017'!G418</f>
        <v>2004000</v>
      </c>
    </row>
    <row r="417" spans="1:8" ht="30" customHeight="1">
      <c r="A417" s="165" t="s">
        <v>81</v>
      </c>
      <c r="B417" s="411" t="s">
        <v>400</v>
      </c>
      <c r="C417" s="412" t="s">
        <v>481</v>
      </c>
      <c r="D417" s="379" t="s">
        <v>463</v>
      </c>
      <c r="F417" s="520">
        <f>SUM(F406:F416)</f>
        <v>113536072</v>
      </c>
      <c r="G417" s="520">
        <f>SUM(G406:G416)</f>
        <v>78844243.37</v>
      </c>
      <c r="H417" s="166">
        <f>SUM(H406:H416)</f>
        <v>113536072</v>
      </c>
    </row>
    <row r="418" spans="1:7" ht="30" customHeight="1">
      <c r="A418" s="165" t="s">
        <v>81</v>
      </c>
      <c r="B418" s="405" t="s">
        <v>401</v>
      </c>
      <c r="C418" s="410" t="s">
        <v>66</v>
      </c>
      <c r="F418" s="386"/>
      <c r="G418" s="596"/>
    </row>
    <row r="419" spans="1:8" ht="30" customHeight="1">
      <c r="A419" s="165" t="s">
        <v>81</v>
      </c>
      <c r="B419" s="405" t="s">
        <v>401</v>
      </c>
      <c r="C419" s="384" t="s">
        <v>481</v>
      </c>
      <c r="D419" s="365">
        <v>6611</v>
      </c>
      <c r="E419" s="368" t="s">
        <v>6</v>
      </c>
      <c r="F419" s="386">
        <f>'prévision 2017'!I421</f>
        <v>213190771</v>
      </c>
      <c r="G419" s="386">
        <f>'prévision 2017'!H421</f>
        <v>131415634.48</v>
      </c>
      <c r="H419" s="158">
        <f>'prévision 2017'!G421</f>
        <v>213190771</v>
      </c>
    </row>
    <row r="420" spans="1:8" ht="30" customHeight="1">
      <c r="A420" s="165" t="s">
        <v>81</v>
      </c>
      <c r="B420" s="411" t="s">
        <v>401</v>
      </c>
      <c r="C420" s="384" t="s">
        <v>481</v>
      </c>
      <c r="D420" s="365">
        <v>60100</v>
      </c>
      <c r="E420" s="368" t="s">
        <v>7</v>
      </c>
      <c r="F420" s="386">
        <f>'prévision 2017'!I422</f>
        <v>500000</v>
      </c>
      <c r="G420" s="386">
        <f>'prévision 2017'!H422</f>
        <v>499000</v>
      </c>
      <c r="H420" s="158">
        <f>'prévision 2017'!G422</f>
        <v>500000</v>
      </c>
    </row>
    <row r="421" spans="1:8" ht="30" customHeight="1">
      <c r="A421" s="165" t="s">
        <v>81</v>
      </c>
      <c r="B421" s="411" t="s">
        <v>401</v>
      </c>
      <c r="C421" s="384" t="s">
        <v>481</v>
      </c>
      <c r="D421" s="365">
        <v>60101</v>
      </c>
      <c r="E421" s="368" t="s">
        <v>255</v>
      </c>
      <c r="F421" s="386">
        <f>'prévision 2017'!I423</f>
        <v>0</v>
      </c>
      <c r="G421" s="386">
        <f>'prévision 2017'!H423</f>
        <v>0</v>
      </c>
      <c r="H421" s="158">
        <f>'prévision 2017'!G423</f>
        <v>0</v>
      </c>
    </row>
    <row r="422" spans="1:8" ht="30" customHeight="1">
      <c r="A422" s="165" t="s">
        <v>81</v>
      </c>
      <c r="B422" s="411" t="s">
        <v>401</v>
      </c>
      <c r="C422" s="384" t="s">
        <v>481</v>
      </c>
      <c r="D422" s="365">
        <v>6122</v>
      </c>
      <c r="E422" s="389" t="s">
        <v>582</v>
      </c>
      <c r="F422" s="386">
        <f>'prévision 2017'!I424</f>
        <v>300000</v>
      </c>
      <c r="G422" s="386">
        <f>'prévision 2017'!H424</f>
        <v>293000</v>
      </c>
      <c r="H422" s="158">
        <f>'prévision 2017'!G424</f>
        <v>300000</v>
      </c>
    </row>
    <row r="423" spans="1:8" ht="30" customHeight="1">
      <c r="A423" s="165" t="s">
        <v>81</v>
      </c>
      <c r="B423" s="411" t="s">
        <v>401</v>
      </c>
      <c r="C423" s="384" t="s">
        <v>481</v>
      </c>
      <c r="D423" s="365">
        <v>6143</v>
      </c>
      <c r="E423" s="368" t="s">
        <v>287</v>
      </c>
      <c r="F423" s="386">
        <f>'prévision 2017'!I425</f>
        <v>0</v>
      </c>
      <c r="G423" s="386">
        <f>'prévision 2017'!H425</f>
        <v>0</v>
      </c>
      <c r="H423" s="158">
        <f>'prévision 2017'!G425</f>
        <v>0</v>
      </c>
    </row>
    <row r="424" spans="1:8" ht="30" customHeight="1">
      <c r="A424" s="165" t="s">
        <v>81</v>
      </c>
      <c r="B424" s="411" t="s">
        <v>401</v>
      </c>
      <c r="C424" s="384" t="s">
        <v>481</v>
      </c>
      <c r="D424" s="365">
        <v>6175</v>
      </c>
      <c r="E424" s="368" t="s">
        <v>13</v>
      </c>
      <c r="F424" s="386">
        <f>'prévision 2017'!I426</f>
        <v>0</v>
      </c>
      <c r="G424" s="386">
        <f>'prévision 2017'!H426</f>
        <v>0</v>
      </c>
      <c r="H424" s="158">
        <f>'prévision 2017'!G426</f>
        <v>0</v>
      </c>
    </row>
    <row r="425" spans="1:8" ht="30" customHeight="1">
      <c r="A425" s="165" t="s">
        <v>81</v>
      </c>
      <c r="B425" s="411" t="s">
        <v>401</v>
      </c>
      <c r="C425" s="412" t="s">
        <v>481</v>
      </c>
      <c r="D425" s="379" t="s">
        <v>463</v>
      </c>
      <c r="F425" s="520">
        <f>SUM(F419:F424)</f>
        <v>213990771</v>
      </c>
      <c r="G425" s="520">
        <f>SUM(G419:G424)</f>
        <v>132207634.48</v>
      </c>
      <c r="H425" s="166">
        <f>SUM(H419:H424)</f>
        <v>213990771</v>
      </c>
    </row>
    <row r="426" spans="1:7" ht="30" customHeight="1">
      <c r="A426" s="165" t="s">
        <v>81</v>
      </c>
      <c r="B426" s="405" t="s">
        <v>402</v>
      </c>
      <c r="C426" s="384" t="s">
        <v>481</v>
      </c>
      <c r="D426" s="417" t="s">
        <v>217</v>
      </c>
      <c r="F426" s="386"/>
      <c r="G426" s="596"/>
    </row>
    <row r="427" spans="1:8" ht="30" customHeight="1">
      <c r="A427" s="165" t="s">
        <v>81</v>
      </c>
      <c r="B427" s="405" t="s">
        <v>402</v>
      </c>
      <c r="C427" s="384" t="s">
        <v>481</v>
      </c>
      <c r="D427" s="365">
        <v>6611</v>
      </c>
      <c r="E427" s="368" t="s">
        <v>6</v>
      </c>
      <c r="F427" s="386">
        <f>'prévision 2017'!I429</f>
        <v>136339140</v>
      </c>
      <c r="G427" s="386">
        <f>'prévision 2017'!H429</f>
        <v>146433420.67000002</v>
      </c>
      <c r="H427" s="158">
        <f>'prévision 2017'!G429</f>
        <v>136339140</v>
      </c>
    </row>
    <row r="428" spans="1:8" ht="30" customHeight="1">
      <c r="A428" s="165" t="s">
        <v>81</v>
      </c>
      <c r="B428" s="411" t="s">
        <v>402</v>
      </c>
      <c r="C428" s="384" t="s">
        <v>481</v>
      </c>
      <c r="D428" s="365">
        <v>6143</v>
      </c>
      <c r="E428" s="368" t="s">
        <v>287</v>
      </c>
      <c r="F428" s="386">
        <f>'prévision 2017'!I430</f>
        <v>0</v>
      </c>
      <c r="G428" s="386">
        <f>'prévision 2017'!H430</f>
        <v>0</v>
      </c>
      <c r="H428" s="158">
        <f>'prévision 2017'!G430</f>
        <v>0</v>
      </c>
    </row>
    <row r="429" spans="1:8" ht="30" customHeight="1">
      <c r="A429" s="165" t="s">
        <v>81</v>
      </c>
      <c r="B429" s="411" t="s">
        <v>402</v>
      </c>
      <c r="C429" s="384" t="s">
        <v>481</v>
      </c>
      <c r="D429" s="365">
        <v>6173</v>
      </c>
      <c r="E429" s="368" t="s">
        <v>19</v>
      </c>
      <c r="F429" s="386">
        <f>'prévision 2017'!I431</f>
        <v>10300000</v>
      </c>
      <c r="G429" s="386">
        <f>'prévision 2017'!H431</f>
        <v>7725000</v>
      </c>
      <c r="H429" s="158">
        <f>'prévision 2017'!G431</f>
        <v>10300000</v>
      </c>
    </row>
    <row r="430" spans="1:8" ht="30" customHeight="1">
      <c r="A430" s="165" t="s">
        <v>81</v>
      </c>
      <c r="B430" s="405" t="s">
        <v>402</v>
      </c>
      <c r="C430" s="412" t="s">
        <v>481</v>
      </c>
      <c r="D430" s="379" t="s">
        <v>463</v>
      </c>
      <c r="F430" s="520">
        <f>SUM(F427:F429)</f>
        <v>146639140</v>
      </c>
      <c r="G430" s="520">
        <f>SUM(G427:G429)</f>
        <v>154158420.67000002</v>
      </c>
      <c r="H430" s="166">
        <f>SUM(H427:H429)</f>
        <v>146639140</v>
      </c>
    </row>
    <row r="431" spans="1:7" ht="30" customHeight="1">
      <c r="A431" s="165" t="s">
        <v>81</v>
      </c>
      <c r="B431" s="405" t="s">
        <v>403</v>
      </c>
      <c r="C431" s="413" t="s">
        <v>83</v>
      </c>
      <c r="F431" s="386"/>
      <c r="G431" s="596"/>
    </row>
    <row r="432" spans="1:8" ht="30" customHeight="1">
      <c r="A432" s="165" t="s">
        <v>81</v>
      </c>
      <c r="B432" s="405" t="s">
        <v>403</v>
      </c>
      <c r="C432" s="384" t="s">
        <v>481</v>
      </c>
      <c r="D432" s="365">
        <v>6611</v>
      </c>
      <c r="E432" s="368" t="s">
        <v>6</v>
      </c>
      <c r="F432" s="386">
        <f>'prévision 2017'!I434</f>
        <v>57735996</v>
      </c>
      <c r="G432" s="386">
        <f>'prévision 2017'!H434</f>
        <v>56392000.33</v>
      </c>
      <c r="H432" s="158">
        <f>'prévision 2017'!G434</f>
        <v>57735996</v>
      </c>
    </row>
    <row r="433" spans="1:8" ht="30" customHeight="1">
      <c r="A433" s="418" t="s">
        <v>81</v>
      </c>
      <c r="B433" s="411" t="s">
        <v>403</v>
      </c>
      <c r="C433" s="384" t="s">
        <v>481</v>
      </c>
      <c r="D433" s="365">
        <v>6143</v>
      </c>
      <c r="E433" s="368" t="s">
        <v>287</v>
      </c>
      <c r="F433" s="386">
        <f>'prévision 2017'!I435</f>
        <v>0</v>
      </c>
      <c r="G433" s="386">
        <f>'prévision 2017'!H435</f>
        <v>0</v>
      </c>
      <c r="H433" s="158">
        <f>'prévision 2017'!G435</f>
        <v>0</v>
      </c>
    </row>
    <row r="434" spans="1:8" ht="30" customHeight="1">
      <c r="A434" s="165" t="s">
        <v>81</v>
      </c>
      <c r="B434" s="411" t="s">
        <v>403</v>
      </c>
      <c r="C434" s="384" t="s">
        <v>481</v>
      </c>
      <c r="D434" s="365">
        <v>6161</v>
      </c>
      <c r="E434" s="368" t="s">
        <v>257</v>
      </c>
      <c r="F434" s="386">
        <f>'prévision 2017'!I436</f>
        <v>0</v>
      </c>
      <c r="G434" s="386">
        <f>'prévision 2017'!H436</f>
        <v>0</v>
      </c>
      <c r="H434" s="158">
        <f>'prévision 2017'!G436</f>
        <v>0</v>
      </c>
    </row>
    <row r="435" spans="1:8" ht="30" customHeight="1">
      <c r="A435" s="165" t="s">
        <v>81</v>
      </c>
      <c r="B435" s="411" t="s">
        <v>403</v>
      </c>
      <c r="C435" s="384" t="s">
        <v>481</v>
      </c>
      <c r="D435" s="365">
        <v>6173</v>
      </c>
      <c r="E435" s="368" t="s">
        <v>19</v>
      </c>
      <c r="F435" s="386">
        <f>'prévision 2017'!I437</f>
        <v>11500000</v>
      </c>
      <c r="G435" s="386">
        <f>'prévision 2017'!H437</f>
        <v>8625000</v>
      </c>
      <c r="H435" s="158">
        <f>'prévision 2017'!G437</f>
        <v>11500000</v>
      </c>
    </row>
    <row r="436" spans="1:8" ht="30" customHeight="1">
      <c r="A436" s="165" t="s">
        <v>81</v>
      </c>
      <c r="B436" s="411" t="s">
        <v>403</v>
      </c>
      <c r="C436" s="412" t="s">
        <v>481</v>
      </c>
      <c r="D436" s="379" t="s">
        <v>463</v>
      </c>
      <c r="F436" s="520">
        <f>SUM(F432:F435)</f>
        <v>69235996</v>
      </c>
      <c r="G436" s="520">
        <f>SUM(G432:G435)</f>
        <v>65017000.33</v>
      </c>
      <c r="H436" s="166">
        <f>SUM(H432:H435)</f>
        <v>69235996</v>
      </c>
    </row>
    <row r="437" spans="1:7" ht="30" customHeight="1">
      <c r="A437" s="165" t="s">
        <v>81</v>
      </c>
      <c r="B437" s="405" t="s">
        <v>404</v>
      </c>
      <c r="C437" s="433" t="s">
        <v>84</v>
      </c>
      <c r="D437" s="434"/>
      <c r="F437" s="386"/>
      <c r="G437" s="596"/>
    </row>
    <row r="438" spans="1:8" ht="30" customHeight="1">
      <c r="A438" s="165" t="s">
        <v>81</v>
      </c>
      <c r="B438" s="405" t="s">
        <v>404</v>
      </c>
      <c r="C438" s="384" t="s">
        <v>481</v>
      </c>
      <c r="D438" s="365">
        <v>6611</v>
      </c>
      <c r="E438" s="368" t="s">
        <v>6</v>
      </c>
      <c r="F438" s="386">
        <f>'prévision 2017'!I440</f>
        <v>69473028</v>
      </c>
      <c r="G438" s="386">
        <f>'prévision 2017'!H440</f>
        <v>58540360.08000001</v>
      </c>
      <c r="H438" s="158">
        <f>'prévision 2017'!G440</f>
        <v>69473028</v>
      </c>
    </row>
    <row r="439" spans="1:8" ht="30" customHeight="1">
      <c r="A439" s="165" t="s">
        <v>81</v>
      </c>
      <c r="B439" s="411" t="s">
        <v>404</v>
      </c>
      <c r="C439" s="384" t="s">
        <v>481</v>
      </c>
      <c r="D439" s="365">
        <v>6173</v>
      </c>
      <c r="E439" s="368" t="s">
        <v>19</v>
      </c>
      <c r="F439" s="386">
        <f>'prévision 2017'!I441</f>
        <v>5300000</v>
      </c>
      <c r="G439" s="386">
        <f>'prévision 2017'!H441</f>
        <v>2650000</v>
      </c>
      <c r="H439" s="158">
        <f>'prévision 2017'!G441</f>
        <v>5300000</v>
      </c>
    </row>
    <row r="440" spans="1:8" ht="30" customHeight="1">
      <c r="A440" s="165" t="s">
        <v>81</v>
      </c>
      <c r="B440" s="411" t="s">
        <v>404</v>
      </c>
      <c r="C440" s="412" t="s">
        <v>481</v>
      </c>
      <c r="D440" s="379" t="s">
        <v>463</v>
      </c>
      <c r="F440" s="520">
        <f>SUM(F438:F439)</f>
        <v>74773028</v>
      </c>
      <c r="G440" s="520">
        <f>SUM(G438:G439)</f>
        <v>61190360.08000001</v>
      </c>
      <c r="H440" s="166">
        <f>SUM(H438:H439)</f>
        <v>74773028</v>
      </c>
    </row>
    <row r="441" spans="1:7" ht="30" customHeight="1">
      <c r="A441" s="165" t="s">
        <v>81</v>
      </c>
      <c r="B441" s="405" t="s">
        <v>405</v>
      </c>
      <c r="C441" s="413" t="s">
        <v>623</v>
      </c>
      <c r="D441" s="434"/>
      <c r="F441" s="386"/>
      <c r="G441" s="596"/>
    </row>
    <row r="442" spans="1:8" ht="30" customHeight="1">
      <c r="A442" s="165" t="s">
        <v>81</v>
      </c>
      <c r="B442" s="411" t="s">
        <v>405</v>
      </c>
      <c r="C442" s="384" t="s">
        <v>481</v>
      </c>
      <c r="D442" s="365">
        <v>6611</v>
      </c>
      <c r="E442" s="368" t="s">
        <v>6</v>
      </c>
      <c r="F442" s="386">
        <f>'prévision 2017'!I444</f>
        <v>98378435</v>
      </c>
      <c r="G442" s="386">
        <f>'prévision 2017'!H444</f>
        <v>89424223.46000001</v>
      </c>
      <c r="H442" s="158">
        <f>'prévision 2017'!G444</f>
        <v>98378435</v>
      </c>
    </row>
    <row r="443" spans="1:8" ht="30" customHeight="1">
      <c r="A443" s="418" t="s">
        <v>81</v>
      </c>
      <c r="B443" s="411" t="s">
        <v>405</v>
      </c>
      <c r="C443" s="384" t="s">
        <v>481</v>
      </c>
      <c r="D443" s="365">
        <v>6143</v>
      </c>
      <c r="E443" s="368" t="s">
        <v>287</v>
      </c>
      <c r="F443" s="386">
        <f>'prévision 2017'!I445</f>
        <v>0</v>
      </c>
      <c r="G443" s="386">
        <f>'prévision 2017'!H445</f>
        <v>0</v>
      </c>
      <c r="H443" s="158">
        <f>'prévision 2017'!G445</f>
        <v>0</v>
      </c>
    </row>
    <row r="444" spans="1:8" ht="30" customHeight="1">
      <c r="A444" s="165" t="s">
        <v>81</v>
      </c>
      <c r="B444" s="411" t="s">
        <v>405</v>
      </c>
      <c r="C444" s="384" t="s">
        <v>481</v>
      </c>
      <c r="D444" s="365">
        <v>6173</v>
      </c>
      <c r="E444" s="368" t="s">
        <v>19</v>
      </c>
      <c r="F444" s="386">
        <f>'prévision 2017'!I446</f>
        <v>10300000</v>
      </c>
      <c r="G444" s="386">
        <f>'prévision 2017'!H446</f>
        <v>9050000</v>
      </c>
      <c r="H444" s="158">
        <f>'prévision 2017'!G446</f>
        <v>10300000</v>
      </c>
    </row>
    <row r="445" spans="1:8" ht="30" customHeight="1">
      <c r="A445" s="165" t="s">
        <v>81</v>
      </c>
      <c r="B445" s="411" t="s">
        <v>405</v>
      </c>
      <c r="C445" s="412" t="s">
        <v>481</v>
      </c>
      <c r="D445" s="379" t="s">
        <v>463</v>
      </c>
      <c r="F445" s="520">
        <f>SUM(F442:F444)</f>
        <v>108678435</v>
      </c>
      <c r="G445" s="520">
        <f>SUM(G442:G444)</f>
        <v>98474223.46000001</v>
      </c>
      <c r="H445" s="166">
        <f>SUM(H442:H444)</f>
        <v>108678435</v>
      </c>
    </row>
    <row r="446" spans="1:7" ht="30" customHeight="1">
      <c r="A446" s="165" t="s">
        <v>81</v>
      </c>
      <c r="B446" s="405" t="s">
        <v>479</v>
      </c>
      <c r="C446" s="413" t="s">
        <v>85</v>
      </c>
      <c r="F446" s="386"/>
      <c r="G446" s="596"/>
    </row>
    <row r="447" spans="1:8" ht="30" customHeight="1">
      <c r="A447" s="165" t="s">
        <v>81</v>
      </c>
      <c r="B447" s="411" t="s">
        <v>479</v>
      </c>
      <c r="C447" s="384" t="s">
        <v>481</v>
      </c>
      <c r="D447" s="365">
        <v>6611</v>
      </c>
      <c r="E447" s="368" t="s">
        <v>6</v>
      </c>
      <c r="F447" s="386">
        <f>'prévision 2017'!I449</f>
        <v>92518356</v>
      </c>
      <c r="G447" s="386">
        <f>'prévision 2017'!H449</f>
        <v>92909902.63</v>
      </c>
      <c r="H447" s="158">
        <f>'prévision 2017'!G449</f>
        <v>92518356</v>
      </c>
    </row>
    <row r="448" spans="1:8" ht="30" customHeight="1">
      <c r="A448" s="165" t="s">
        <v>81</v>
      </c>
      <c r="B448" s="411" t="s">
        <v>479</v>
      </c>
      <c r="C448" s="384" t="s">
        <v>481</v>
      </c>
      <c r="D448" s="365">
        <v>6161</v>
      </c>
      <c r="E448" s="368" t="s">
        <v>257</v>
      </c>
      <c r="F448" s="386">
        <f>'prévision 2017'!I450</f>
        <v>0</v>
      </c>
      <c r="G448" s="386">
        <f>'prévision 2017'!H450</f>
        <v>0</v>
      </c>
      <c r="H448" s="158">
        <f>'prévision 2017'!G450</f>
        <v>0</v>
      </c>
    </row>
    <row r="449" spans="1:8" ht="30" customHeight="1">
      <c r="A449" s="165" t="s">
        <v>81</v>
      </c>
      <c r="B449" s="411" t="s">
        <v>479</v>
      </c>
      <c r="C449" s="384" t="s">
        <v>481</v>
      </c>
      <c r="D449" s="365">
        <v>6173</v>
      </c>
      <c r="E449" s="368" t="s">
        <v>19</v>
      </c>
      <c r="F449" s="386">
        <f>'prévision 2017'!I451</f>
        <v>3800000</v>
      </c>
      <c r="G449" s="386">
        <f>'prévision 2017'!H451</f>
        <v>2850000</v>
      </c>
      <c r="H449" s="158">
        <f>'prévision 2017'!G451</f>
        <v>3800000</v>
      </c>
    </row>
    <row r="450" spans="1:8" ht="30" customHeight="1">
      <c r="A450" s="165" t="s">
        <v>81</v>
      </c>
      <c r="B450" s="411" t="s">
        <v>479</v>
      </c>
      <c r="C450" s="412" t="s">
        <v>481</v>
      </c>
      <c r="D450" s="379" t="s">
        <v>463</v>
      </c>
      <c r="F450" s="520">
        <f>SUM(F447:F449)</f>
        <v>96318356</v>
      </c>
      <c r="G450" s="520">
        <f>SUM(G447:G449)</f>
        <v>95759902.63</v>
      </c>
      <c r="H450" s="166">
        <f>SUM(H447:H449)</f>
        <v>96318356</v>
      </c>
    </row>
    <row r="451" spans="1:7" ht="30" customHeight="1">
      <c r="A451" s="165" t="s">
        <v>81</v>
      </c>
      <c r="B451" s="405" t="s">
        <v>406</v>
      </c>
      <c r="C451" s="413" t="s">
        <v>309</v>
      </c>
      <c r="F451" s="386"/>
      <c r="G451" s="596"/>
    </row>
    <row r="452" spans="1:8" ht="30" customHeight="1">
      <c r="A452" s="165" t="s">
        <v>81</v>
      </c>
      <c r="B452" s="405" t="s">
        <v>406</v>
      </c>
      <c r="C452" s="384" t="s">
        <v>481</v>
      </c>
      <c r="D452" s="365">
        <v>6611</v>
      </c>
      <c r="E452" s="368" t="s">
        <v>6</v>
      </c>
      <c r="F452" s="386">
        <f>'prévision 2017'!I454</f>
        <v>36738552</v>
      </c>
      <c r="G452" s="386">
        <f>'prévision 2017'!H454</f>
        <v>49021692.040000014</v>
      </c>
      <c r="H452" s="158">
        <f>'prévision 2017'!G454</f>
        <v>36738552</v>
      </c>
    </row>
    <row r="453" spans="1:8" ht="30" customHeight="1">
      <c r="A453" s="165" t="s">
        <v>81</v>
      </c>
      <c r="B453" s="411" t="s">
        <v>406</v>
      </c>
      <c r="C453" s="384" t="s">
        <v>481</v>
      </c>
      <c r="D453" s="365">
        <v>6143</v>
      </c>
      <c r="E453" s="368" t="s">
        <v>287</v>
      </c>
      <c r="F453" s="386">
        <f>'prévision 2017'!I455</f>
        <v>0</v>
      </c>
      <c r="G453" s="386">
        <f>'prévision 2017'!H455</f>
        <v>0</v>
      </c>
      <c r="H453" s="158">
        <f>'prévision 2017'!G455</f>
        <v>0</v>
      </c>
    </row>
    <row r="454" spans="1:8" ht="30" customHeight="1">
      <c r="A454" s="165" t="s">
        <v>81</v>
      </c>
      <c r="B454" s="411" t="s">
        <v>406</v>
      </c>
      <c r="C454" s="384" t="s">
        <v>481</v>
      </c>
      <c r="D454" s="365">
        <v>6173</v>
      </c>
      <c r="E454" s="368" t="s">
        <v>19</v>
      </c>
      <c r="F454" s="386">
        <f>'prévision 2017'!I456</f>
        <v>5500000</v>
      </c>
      <c r="G454" s="386">
        <f>'prévision 2017'!H456</f>
        <v>4125000</v>
      </c>
      <c r="H454" s="158">
        <f>'prévision 2017'!G456</f>
        <v>5500000</v>
      </c>
    </row>
    <row r="455" spans="1:8" ht="30" customHeight="1">
      <c r="A455" s="165" t="s">
        <v>81</v>
      </c>
      <c r="B455" s="411" t="s">
        <v>406</v>
      </c>
      <c r="C455" s="412" t="s">
        <v>481</v>
      </c>
      <c r="D455" s="379" t="s">
        <v>463</v>
      </c>
      <c r="F455" s="520">
        <f>SUM(F452:F454)</f>
        <v>42238552</v>
      </c>
      <c r="G455" s="520">
        <f>SUM(G452:G454)</f>
        <v>53146692.040000014</v>
      </c>
      <c r="H455" s="166">
        <f>SUM(H452:H454)</f>
        <v>42238552</v>
      </c>
    </row>
    <row r="456" spans="1:7" ht="30" customHeight="1">
      <c r="A456" s="165" t="s">
        <v>81</v>
      </c>
      <c r="B456" s="405" t="s">
        <v>407</v>
      </c>
      <c r="C456" s="413" t="s">
        <v>86</v>
      </c>
      <c r="F456" s="386"/>
      <c r="G456" s="596"/>
    </row>
    <row r="457" spans="1:8" ht="30" customHeight="1">
      <c r="A457" s="165" t="s">
        <v>81</v>
      </c>
      <c r="B457" s="405" t="s">
        <v>407</v>
      </c>
      <c r="C457" s="384" t="s">
        <v>481</v>
      </c>
      <c r="D457" s="365">
        <v>6611</v>
      </c>
      <c r="E457" s="368" t="s">
        <v>6</v>
      </c>
      <c r="F457" s="386">
        <f>'prévision 2017'!I459</f>
        <v>46848444</v>
      </c>
      <c r="G457" s="386">
        <f>'prévision 2017'!H459</f>
        <v>49860847.84</v>
      </c>
      <c r="H457" s="158">
        <f>'prévision 2017'!G459</f>
        <v>46848444</v>
      </c>
    </row>
    <row r="458" spans="1:8" ht="30" customHeight="1">
      <c r="A458" s="165" t="s">
        <v>81</v>
      </c>
      <c r="B458" s="411" t="s">
        <v>407</v>
      </c>
      <c r="C458" s="384" t="s">
        <v>481</v>
      </c>
      <c r="D458" s="365">
        <v>6143</v>
      </c>
      <c r="E458" s="368" t="s">
        <v>287</v>
      </c>
      <c r="F458" s="386">
        <f>'prévision 2017'!I460</f>
        <v>0</v>
      </c>
      <c r="G458" s="386">
        <f>'prévision 2017'!H460</f>
        <v>0</v>
      </c>
      <c r="H458" s="158">
        <f>'prévision 2017'!G460</f>
        <v>0</v>
      </c>
    </row>
    <row r="459" spans="1:8" ht="30" customHeight="1">
      <c r="A459" s="165" t="s">
        <v>81</v>
      </c>
      <c r="B459" s="411" t="s">
        <v>407</v>
      </c>
      <c r="C459" s="384" t="s">
        <v>481</v>
      </c>
      <c r="D459" s="365">
        <v>6173</v>
      </c>
      <c r="E459" s="368" t="s">
        <v>19</v>
      </c>
      <c r="F459" s="386">
        <f>'prévision 2017'!I461</f>
        <v>5850000</v>
      </c>
      <c r="G459" s="386">
        <f>'prévision 2017'!H461</f>
        <v>4387500</v>
      </c>
      <c r="H459" s="158">
        <f>'prévision 2017'!G461</f>
        <v>5850000</v>
      </c>
    </row>
    <row r="460" spans="1:8" ht="30" customHeight="1">
      <c r="A460" s="165" t="s">
        <v>81</v>
      </c>
      <c r="B460" s="411" t="s">
        <v>407</v>
      </c>
      <c r="C460" s="412" t="s">
        <v>481</v>
      </c>
      <c r="D460" s="379" t="s">
        <v>463</v>
      </c>
      <c r="F460" s="520">
        <f>SUM(F457:F459)</f>
        <v>52698444</v>
      </c>
      <c r="G460" s="520">
        <f>SUM(G457:G459)</f>
        <v>54248347.84</v>
      </c>
      <c r="H460" s="166">
        <f>SUM(H457:H459)</f>
        <v>52698444</v>
      </c>
    </row>
    <row r="461" spans="1:7" ht="30" customHeight="1">
      <c r="A461" s="165" t="s">
        <v>81</v>
      </c>
      <c r="B461" s="405" t="s">
        <v>408</v>
      </c>
      <c r="C461" s="413" t="s">
        <v>87</v>
      </c>
      <c r="F461" s="386"/>
      <c r="G461" s="596"/>
    </row>
    <row r="462" spans="1:8" ht="30" customHeight="1">
      <c r="A462" s="165" t="s">
        <v>81</v>
      </c>
      <c r="B462" s="405" t="s">
        <v>408</v>
      </c>
      <c r="C462" s="384" t="s">
        <v>481</v>
      </c>
      <c r="D462" s="365">
        <v>6611</v>
      </c>
      <c r="E462" s="368" t="s">
        <v>6</v>
      </c>
      <c r="F462" s="386">
        <f>'prévision 2017'!I464</f>
        <v>44694384</v>
      </c>
      <c r="G462" s="386">
        <f>'prévision 2017'!H464</f>
        <v>42482753.02</v>
      </c>
      <c r="H462" s="158">
        <f>'prévision 2017'!G464</f>
        <v>44694384</v>
      </c>
    </row>
    <row r="463" spans="1:8" ht="30" customHeight="1">
      <c r="A463" s="165" t="s">
        <v>81</v>
      </c>
      <c r="B463" s="411" t="s">
        <v>408</v>
      </c>
      <c r="C463" s="384" t="s">
        <v>481</v>
      </c>
      <c r="D463" s="365">
        <v>6173</v>
      </c>
      <c r="E463" s="368" t="s">
        <v>19</v>
      </c>
      <c r="F463" s="386">
        <f>'prévision 2017'!I465</f>
        <v>4008000</v>
      </c>
      <c r="G463" s="386">
        <f>'prévision 2017'!H465</f>
        <v>3006000</v>
      </c>
      <c r="H463" s="158">
        <f>'prévision 2017'!G465</f>
        <v>4008000</v>
      </c>
    </row>
    <row r="464" spans="1:8" ht="30" customHeight="1">
      <c r="A464" s="165" t="s">
        <v>81</v>
      </c>
      <c r="B464" s="411" t="s">
        <v>408</v>
      </c>
      <c r="C464" s="412" t="s">
        <v>481</v>
      </c>
      <c r="D464" s="379" t="s">
        <v>463</v>
      </c>
      <c r="F464" s="520">
        <f>SUM(F462:F463)</f>
        <v>48702384</v>
      </c>
      <c r="G464" s="520">
        <f>SUM(G462:G463)</f>
        <v>45488753.02</v>
      </c>
      <c r="H464" s="166">
        <f>SUM(H462:H463)</f>
        <v>48702384</v>
      </c>
    </row>
    <row r="465" spans="1:7" ht="30" customHeight="1">
      <c r="A465" s="165" t="s">
        <v>81</v>
      </c>
      <c r="B465" s="405" t="s">
        <v>409</v>
      </c>
      <c r="C465" s="413" t="s">
        <v>88</v>
      </c>
      <c r="F465" s="386"/>
      <c r="G465" s="596"/>
    </row>
    <row r="466" spans="1:8" ht="30" customHeight="1">
      <c r="A466" s="165" t="s">
        <v>81</v>
      </c>
      <c r="B466" s="405" t="s">
        <v>409</v>
      </c>
      <c r="C466" s="384" t="s">
        <v>481</v>
      </c>
      <c r="D466" s="365">
        <v>6611</v>
      </c>
      <c r="E466" s="368" t="s">
        <v>6</v>
      </c>
      <c r="F466" s="386">
        <f>'prévision 2017'!I468</f>
        <v>0</v>
      </c>
      <c r="G466" s="386">
        <f>'prévision 2017'!J468</f>
        <v>0</v>
      </c>
      <c r="H466" s="158">
        <f>'prévision 2017'!G468</f>
        <v>0</v>
      </c>
    </row>
    <row r="467" spans="1:8" ht="30" customHeight="1">
      <c r="A467" s="165" t="s">
        <v>81</v>
      </c>
      <c r="B467" s="411" t="s">
        <v>409</v>
      </c>
      <c r="C467" s="384" t="s">
        <v>481</v>
      </c>
      <c r="D467" s="365">
        <v>6173</v>
      </c>
      <c r="E467" s="368" t="s">
        <v>19</v>
      </c>
      <c r="F467" s="386">
        <f>'prévision 2017'!I469</f>
        <v>0</v>
      </c>
      <c r="G467" s="386">
        <f>'prévision 2017'!J469</f>
        <v>0</v>
      </c>
      <c r="H467" s="158">
        <f>'prévision 2017'!G469</f>
        <v>0</v>
      </c>
    </row>
    <row r="468" spans="1:8" ht="30" customHeight="1">
      <c r="A468" s="165" t="s">
        <v>81</v>
      </c>
      <c r="B468" s="411" t="s">
        <v>409</v>
      </c>
      <c r="C468" s="412" t="s">
        <v>481</v>
      </c>
      <c r="D468" s="379" t="s">
        <v>463</v>
      </c>
      <c r="F468" s="520">
        <f>SUM(F466:F467)</f>
        <v>0</v>
      </c>
      <c r="G468" s="520">
        <f>SUM(G466:G467)</f>
        <v>0</v>
      </c>
      <c r="H468" s="166">
        <f>SUM(H466:H467)</f>
        <v>0</v>
      </c>
    </row>
    <row r="469" spans="1:7" ht="30" customHeight="1">
      <c r="A469" s="165" t="s">
        <v>81</v>
      </c>
      <c r="B469" s="405" t="s">
        <v>410</v>
      </c>
      <c r="C469" s="410" t="s">
        <v>212</v>
      </c>
      <c r="F469" s="386"/>
      <c r="G469" s="596"/>
    </row>
    <row r="470" spans="1:8" ht="30" customHeight="1">
      <c r="A470" s="165" t="s">
        <v>81</v>
      </c>
      <c r="B470" s="405" t="s">
        <v>410</v>
      </c>
      <c r="C470" s="384" t="s">
        <v>481</v>
      </c>
      <c r="D470" s="365">
        <v>6611</v>
      </c>
      <c r="E470" s="368" t="s">
        <v>6</v>
      </c>
      <c r="F470" s="386">
        <f>'prévision 2017'!I472</f>
        <v>54291894</v>
      </c>
      <c r="G470" s="386">
        <f>'prévision 2017'!H472</f>
        <v>53304761.32</v>
      </c>
      <c r="H470" s="158">
        <f>'prévision 2017'!G472</f>
        <v>54291894</v>
      </c>
    </row>
    <row r="471" spans="1:8" ht="30" customHeight="1">
      <c r="A471" s="165" t="s">
        <v>81</v>
      </c>
      <c r="B471" s="411" t="s">
        <v>410</v>
      </c>
      <c r="C471" s="384" t="s">
        <v>481</v>
      </c>
      <c r="D471" s="365">
        <v>6161</v>
      </c>
      <c r="E471" s="368" t="s">
        <v>257</v>
      </c>
      <c r="F471" s="386">
        <f>'prévision 2017'!I473</f>
        <v>0</v>
      </c>
      <c r="G471" s="386">
        <f>'prévision 2017'!H473</f>
        <v>0</v>
      </c>
      <c r="H471" s="158">
        <f>'prévision 2017'!G473</f>
        <v>0</v>
      </c>
    </row>
    <row r="472" spans="1:8" ht="30" customHeight="1">
      <c r="A472" s="165" t="s">
        <v>81</v>
      </c>
      <c r="B472" s="411" t="s">
        <v>410</v>
      </c>
      <c r="C472" s="384" t="s">
        <v>481</v>
      </c>
      <c r="D472" s="365">
        <v>6173</v>
      </c>
      <c r="E472" s="368" t="s">
        <v>19</v>
      </c>
      <c r="F472" s="386">
        <f>'prévision 2017'!I474</f>
        <v>3000000</v>
      </c>
      <c r="G472" s="386">
        <f>'prévision 2017'!H474</f>
        <v>2250000</v>
      </c>
      <c r="H472" s="158">
        <f>'prévision 2017'!G474</f>
        <v>3000000</v>
      </c>
    </row>
    <row r="473" spans="1:8" ht="30" customHeight="1">
      <c r="A473" s="165" t="s">
        <v>81</v>
      </c>
      <c r="B473" s="411" t="s">
        <v>410</v>
      </c>
      <c r="C473" s="412" t="s">
        <v>481</v>
      </c>
      <c r="D473" s="379" t="s">
        <v>463</v>
      </c>
      <c r="F473" s="520">
        <f>SUM(F470:F472)</f>
        <v>57291894</v>
      </c>
      <c r="G473" s="520">
        <f>SUM(G470:G472)</f>
        <v>55554761.32</v>
      </c>
      <c r="H473" s="166">
        <f>SUM(H470:H472)</f>
        <v>57291894</v>
      </c>
    </row>
    <row r="474" spans="1:7" ht="30" customHeight="1">
      <c r="A474" s="165" t="s">
        <v>81</v>
      </c>
      <c r="B474" s="405" t="s">
        <v>411</v>
      </c>
      <c r="C474" s="413" t="s">
        <v>89</v>
      </c>
      <c r="F474" s="386"/>
      <c r="G474" s="596"/>
    </row>
    <row r="475" spans="1:8" ht="30" customHeight="1">
      <c r="A475" s="165" t="s">
        <v>81</v>
      </c>
      <c r="B475" s="405" t="s">
        <v>411</v>
      </c>
      <c r="C475" s="384" t="s">
        <v>481</v>
      </c>
      <c r="D475" s="365">
        <v>6611</v>
      </c>
      <c r="E475" s="368" t="s">
        <v>6</v>
      </c>
      <c r="F475" s="386">
        <f>'prévision 2017'!I477</f>
        <v>27616380</v>
      </c>
      <c r="G475" s="386">
        <f>'prévision 2017'!H477</f>
        <v>34814494.32</v>
      </c>
      <c r="H475" s="158">
        <f>'prévision 2017'!G477</f>
        <v>27616380</v>
      </c>
    </row>
    <row r="476" spans="1:8" ht="30" customHeight="1">
      <c r="A476" s="165" t="s">
        <v>81</v>
      </c>
      <c r="B476" s="411" t="s">
        <v>411</v>
      </c>
      <c r="C476" s="384" t="s">
        <v>481</v>
      </c>
      <c r="D476" s="365">
        <v>6143</v>
      </c>
      <c r="E476" s="368" t="s">
        <v>287</v>
      </c>
      <c r="F476" s="386">
        <f>'prévision 2017'!I478</f>
        <v>0</v>
      </c>
      <c r="G476" s="386">
        <f>'prévision 2017'!H478</f>
        <v>0</v>
      </c>
      <c r="H476" s="158">
        <f>'prévision 2017'!G478</f>
        <v>0</v>
      </c>
    </row>
    <row r="477" spans="1:8" ht="30" customHeight="1">
      <c r="A477" s="165" t="s">
        <v>81</v>
      </c>
      <c r="B477" s="411" t="s">
        <v>411</v>
      </c>
      <c r="C477" s="384" t="s">
        <v>481</v>
      </c>
      <c r="D477" s="365">
        <v>6173</v>
      </c>
      <c r="E477" s="368" t="s">
        <v>19</v>
      </c>
      <c r="F477" s="386">
        <f>'prévision 2017'!I479</f>
        <v>5000000</v>
      </c>
      <c r="G477" s="386">
        <f>'prévision 2017'!H479</f>
        <v>3750000</v>
      </c>
      <c r="H477" s="158">
        <f>'prévision 2017'!G479</f>
        <v>5000000</v>
      </c>
    </row>
    <row r="478" spans="1:8" ht="30" customHeight="1">
      <c r="A478" s="165" t="s">
        <v>81</v>
      </c>
      <c r="B478" s="411" t="s">
        <v>411</v>
      </c>
      <c r="C478" s="412" t="s">
        <v>481</v>
      </c>
      <c r="D478" s="379" t="s">
        <v>463</v>
      </c>
      <c r="F478" s="520">
        <f>SUM(F475:F477)</f>
        <v>32616380</v>
      </c>
      <c r="G478" s="520">
        <f>SUM(G475:G477)</f>
        <v>38564494.32</v>
      </c>
      <c r="H478" s="166">
        <f>SUM(H475:H477)</f>
        <v>32616380</v>
      </c>
    </row>
    <row r="479" spans="1:7" ht="30" customHeight="1">
      <c r="A479" s="165" t="s">
        <v>81</v>
      </c>
      <c r="B479" s="405" t="s">
        <v>412</v>
      </c>
      <c r="C479" s="413" t="s">
        <v>213</v>
      </c>
      <c r="F479" s="386"/>
      <c r="G479" s="596"/>
    </row>
    <row r="480" spans="1:8" ht="30" customHeight="1">
      <c r="A480" s="165" t="s">
        <v>81</v>
      </c>
      <c r="B480" s="405" t="s">
        <v>412</v>
      </c>
      <c r="C480" s="384" t="s">
        <v>481</v>
      </c>
      <c r="D480" s="365">
        <v>6611</v>
      </c>
      <c r="E480" s="368" t="s">
        <v>6</v>
      </c>
      <c r="F480" s="386">
        <f>'prévision 2017'!I482</f>
        <v>38325600</v>
      </c>
      <c r="G480" s="386">
        <f>'prévision 2017'!H482</f>
        <v>34496600</v>
      </c>
      <c r="H480" s="158">
        <f>'prévision 2017'!G482</f>
        <v>38325600</v>
      </c>
    </row>
    <row r="481" spans="1:8" ht="30" customHeight="1">
      <c r="A481" s="165" t="s">
        <v>81</v>
      </c>
      <c r="B481" s="411" t="s">
        <v>412</v>
      </c>
      <c r="C481" s="384" t="s">
        <v>481</v>
      </c>
      <c r="D481" s="365">
        <v>6161</v>
      </c>
      <c r="E481" s="368" t="s">
        <v>257</v>
      </c>
      <c r="F481" s="386">
        <f>'prévision 2017'!I483</f>
        <v>0</v>
      </c>
      <c r="G481" s="386">
        <f>'prévision 2017'!H483</f>
        <v>0</v>
      </c>
      <c r="H481" s="158">
        <f>'prévision 2017'!G483</f>
        <v>0</v>
      </c>
    </row>
    <row r="482" spans="1:8" ht="30" customHeight="1">
      <c r="A482" s="165" t="s">
        <v>81</v>
      </c>
      <c r="B482" s="411" t="s">
        <v>412</v>
      </c>
      <c r="C482" s="384" t="s">
        <v>481</v>
      </c>
      <c r="D482" s="365">
        <v>6173</v>
      </c>
      <c r="E482" s="368" t="s">
        <v>19</v>
      </c>
      <c r="F482" s="386">
        <f>'prévision 2017'!I484</f>
        <v>2500000</v>
      </c>
      <c r="G482" s="386">
        <f>'prévision 2017'!H484</f>
        <v>1875000</v>
      </c>
      <c r="H482" s="158">
        <f>'prévision 2017'!G484</f>
        <v>2500000</v>
      </c>
    </row>
    <row r="483" spans="1:8" ht="30" customHeight="1">
      <c r="A483" s="165" t="s">
        <v>81</v>
      </c>
      <c r="B483" s="411" t="s">
        <v>412</v>
      </c>
      <c r="C483" s="412" t="s">
        <v>481</v>
      </c>
      <c r="D483" s="379" t="s">
        <v>463</v>
      </c>
      <c r="F483" s="520">
        <f>SUM(F480:F482)</f>
        <v>40825600</v>
      </c>
      <c r="G483" s="520">
        <f>SUM(G480:G482)</f>
        <v>36371600</v>
      </c>
      <c r="H483" s="166">
        <f>SUM(H480:H482)</f>
        <v>40825600</v>
      </c>
    </row>
    <row r="484" spans="1:7" ht="30" customHeight="1">
      <c r="A484" s="165" t="s">
        <v>81</v>
      </c>
      <c r="B484" s="405" t="s">
        <v>413</v>
      </c>
      <c r="C484" s="417" t="s">
        <v>306</v>
      </c>
      <c r="F484" s="386"/>
      <c r="G484" s="596"/>
    </row>
    <row r="485" spans="1:8" ht="30" customHeight="1">
      <c r="A485" s="165" t="s">
        <v>81</v>
      </c>
      <c r="B485" s="411" t="s">
        <v>413</v>
      </c>
      <c r="C485" s="384" t="s">
        <v>481</v>
      </c>
      <c r="D485" s="365">
        <v>6611</v>
      </c>
      <c r="E485" s="368" t="s">
        <v>6</v>
      </c>
      <c r="F485" s="386">
        <f>'prévision 2017'!I487</f>
        <v>14580000</v>
      </c>
      <c r="G485" s="386">
        <f>'prévision 2017'!H487</f>
        <v>51663666.599999994</v>
      </c>
      <c r="H485" s="158">
        <f>'prévision 2017'!G487</f>
        <v>14580000</v>
      </c>
    </row>
    <row r="486" spans="1:8" ht="30" customHeight="1">
      <c r="A486" s="165" t="s">
        <v>81</v>
      </c>
      <c r="B486" s="411" t="s">
        <v>413</v>
      </c>
      <c r="C486" s="384" t="s">
        <v>481</v>
      </c>
      <c r="D486" s="365">
        <v>6173</v>
      </c>
      <c r="E486" s="368" t="s">
        <v>19</v>
      </c>
      <c r="F486" s="386">
        <f>'prévision 2017'!I488</f>
        <v>4000000</v>
      </c>
      <c r="G486" s="386">
        <f>'prévision 2017'!H488</f>
        <v>3000000</v>
      </c>
      <c r="H486" s="158">
        <f>'prévision 2017'!G488</f>
        <v>4000000</v>
      </c>
    </row>
    <row r="487" spans="1:8" ht="30" customHeight="1">
      <c r="A487" s="165" t="s">
        <v>81</v>
      </c>
      <c r="B487" s="411" t="s">
        <v>413</v>
      </c>
      <c r="C487" s="412" t="s">
        <v>481</v>
      </c>
      <c r="D487" s="379" t="s">
        <v>463</v>
      </c>
      <c r="F487" s="520">
        <f>SUM(F485:F486)</f>
        <v>18580000</v>
      </c>
      <c r="G487" s="520">
        <f>SUM(G485:G486)</f>
        <v>54663666.599999994</v>
      </c>
      <c r="H487" s="166">
        <f>SUM(H485:H486)</f>
        <v>18580000</v>
      </c>
    </row>
    <row r="488" spans="1:7" ht="30" customHeight="1">
      <c r="A488" s="165" t="s">
        <v>81</v>
      </c>
      <c r="B488" s="405" t="s">
        <v>414</v>
      </c>
      <c r="C488" s="435" t="s">
        <v>307</v>
      </c>
      <c r="D488" s="434"/>
      <c r="F488" s="386"/>
      <c r="G488" s="596"/>
    </row>
    <row r="489" spans="1:8" ht="30" customHeight="1">
      <c r="A489" s="165" t="s">
        <v>81</v>
      </c>
      <c r="B489" s="405" t="s">
        <v>414</v>
      </c>
      <c r="C489" s="384" t="s">
        <v>481</v>
      </c>
      <c r="D489" s="365">
        <v>6611</v>
      </c>
      <c r="E489" s="368" t="s">
        <v>6</v>
      </c>
      <c r="F489" s="386">
        <f>'prévision 2017'!I491</f>
        <v>16304390</v>
      </c>
      <c r="G489" s="386">
        <f>'prévision 2017'!H491</f>
        <v>24522390.360000003</v>
      </c>
      <c r="H489" s="158">
        <f>'prévision 2017'!G491</f>
        <v>16304390</v>
      </c>
    </row>
    <row r="490" spans="1:8" ht="30" customHeight="1">
      <c r="A490" s="165" t="s">
        <v>81</v>
      </c>
      <c r="B490" s="411" t="s">
        <v>414</v>
      </c>
      <c r="C490" s="384" t="s">
        <v>481</v>
      </c>
      <c r="D490" s="365">
        <v>6161</v>
      </c>
      <c r="E490" s="368" t="s">
        <v>257</v>
      </c>
      <c r="F490" s="386">
        <f>'prévision 2017'!I492</f>
        <v>0</v>
      </c>
      <c r="G490" s="386">
        <f>'prévision 2017'!H492</f>
        <v>0</v>
      </c>
      <c r="H490" s="158">
        <f>'prévision 2017'!G492</f>
        <v>0</v>
      </c>
    </row>
    <row r="491" spans="1:8" ht="30" customHeight="1">
      <c r="A491" s="165" t="s">
        <v>81</v>
      </c>
      <c r="B491" s="411" t="s">
        <v>414</v>
      </c>
      <c r="C491" s="384" t="s">
        <v>481</v>
      </c>
      <c r="D491" s="365">
        <v>6173</v>
      </c>
      <c r="E491" s="368" t="s">
        <v>19</v>
      </c>
      <c r="F491" s="386">
        <f>'prévision 2017'!I493</f>
        <v>4300000</v>
      </c>
      <c r="G491" s="386">
        <f>'prévision 2017'!H493</f>
        <v>3225000</v>
      </c>
      <c r="H491" s="158">
        <f>'prévision 2017'!G493</f>
        <v>4300000</v>
      </c>
    </row>
    <row r="492" spans="1:8" ht="30" customHeight="1">
      <c r="A492" s="165" t="s">
        <v>81</v>
      </c>
      <c r="B492" s="411" t="s">
        <v>414</v>
      </c>
      <c r="C492" s="412" t="s">
        <v>481</v>
      </c>
      <c r="D492" s="379" t="s">
        <v>463</v>
      </c>
      <c r="F492" s="520">
        <f>SUM(F489:F491)</f>
        <v>20604390</v>
      </c>
      <c r="G492" s="520">
        <f>SUM(G489:G491)</f>
        <v>27747390.360000003</v>
      </c>
      <c r="H492" s="166">
        <f>SUM(H489:H491)</f>
        <v>20604390</v>
      </c>
    </row>
    <row r="493" spans="1:7" ht="30" customHeight="1">
      <c r="A493" s="165" t="s">
        <v>81</v>
      </c>
      <c r="B493" s="405" t="s">
        <v>415</v>
      </c>
      <c r="C493" s="410" t="s">
        <v>90</v>
      </c>
      <c r="F493" s="386"/>
      <c r="G493" s="596"/>
    </row>
    <row r="494" spans="1:8" ht="30" customHeight="1">
      <c r="A494" s="165" t="s">
        <v>81</v>
      </c>
      <c r="B494" s="405" t="s">
        <v>415</v>
      </c>
      <c r="C494" s="384" t="s">
        <v>481</v>
      </c>
      <c r="D494" s="365">
        <v>6611</v>
      </c>
      <c r="E494" s="368" t="s">
        <v>6</v>
      </c>
      <c r="F494" s="386">
        <f>'prévision 2017'!I496</f>
        <v>8854000</v>
      </c>
      <c r="G494" s="386">
        <f>'prévision 2017'!H496</f>
        <v>16545185.029999997</v>
      </c>
      <c r="H494" s="158">
        <f>'prévision 2017'!G496</f>
        <v>8854000</v>
      </c>
    </row>
    <row r="495" spans="1:8" ht="30" customHeight="1">
      <c r="A495" s="165" t="s">
        <v>81</v>
      </c>
      <c r="B495" s="411" t="s">
        <v>415</v>
      </c>
      <c r="C495" s="384" t="s">
        <v>481</v>
      </c>
      <c r="D495" s="365">
        <v>60101</v>
      </c>
      <c r="E495" s="368" t="s">
        <v>265</v>
      </c>
      <c r="F495" s="386">
        <f>'prévision 2017'!I497</f>
        <v>0</v>
      </c>
      <c r="G495" s="386">
        <f>'prévision 2017'!H497</f>
        <v>0</v>
      </c>
      <c r="H495" s="158">
        <f>'prévision 2017'!G497</f>
        <v>0</v>
      </c>
    </row>
    <row r="496" spans="1:8" ht="30" customHeight="1">
      <c r="A496" s="165" t="s">
        <v>81</v>
      </c>
      <c r="B496" s="411" t="s">
        <v>415</v>
      </c>
      <c r="C496" s="384" t="s">
        <v>481</v>
      </c>
      <c r="D496" s="365">
        <v>6161</v>
      </c>
      <c r="E496" s="368" t="s">
        <v>257</v>
      </c>
      <c r="F496" s="386">
        <f>'prévision 2017'!I498</f>
        <v>0</v>
      </c>
      <c r="G496" s="386">
        <f>'prévision 2017'!H498</f>
        <v>0</v>
      </c>
      <c r="H496" s="158">
        <f>'prévision 2017'!G498</f>
        <v>0</v>
      </c>
    </row>
    <row r="497" spans="1:8" ht="30" customHeight="1">
      <c r="A497" s="165" t="s">
        <v>81</v>
      </c>
      <c r="B497" s="411" t="s">
        <v>415</v>
      </c>
      <c r="C497" s="384" t="s">
        <v>481</v>
      </c>
      <c r="D497" s="365">
        <v>6173</v>
      </c>
      <c r="E497" s="368" t="s">
        <v>19</v>
      </c>
      <c r="F497" s="386">
        <f>'prévision 2017'!I499</f>
        <v>5000000</v>
      </c>
      <c r="G497" s="386">
        <f>'prévision 2017'!H499</f>
        <v>3750000</v>
      </c>
      <c r="H497" s="158">
        <f>'prévision 2017'!G499</f>
        <v>5000000</v>
      </c>
    </row>
    <row r="498" spans="1:8" ht="30" customHeight="1">
      <c r="A498" s="165" t="s">
        <v>81</v>
      </c>
      <c r="B498" s="411" t="s">
        <v>415</v>
      </c>
      <c r="C498" s="384" t="s">
        <v>481</v>
      </c>
      <c r="D498" s="365">
        <v>2164</v>
      </c>
      <c r="E498" s="368" t="s">
        <v>285</v>
      </c>
      <c r="F498" s="386">
        <f>'prévision 2017'!I500</f>
        <v>0</v>
      </c>
      <c r="G498" s="386">
        <f>'prévision 2017'!H500</f>
        <v>0</v>
      </c>
      <c r="H498" s="158">
        <f>'prévision 2017'!G500</f>
        <v>0</v>
      </c>
    </row>
    <row r="499" spans="1:8" ht="30" customHeight="1">
      <c r="A499" s="165" t="s">
        <v>81</v>
      </c>
      <c r="B499" s="411" t="s">
        <v>415</v>
      </c>
      <c r="C499" s="384" t="s">
        <v>481</v>
      </c>
      <c r="D499" s="365">
        <v>2171</v>
      </c>
      <c r="E499" s="368" t="s">
        <v>284</v>
      </c>
      <c r="F499" s="386">
        <f>'prévision 2017'!I501</f>
        <v>0</v>
      </c>
      <c r="G499" s="386">
        <f>'prévision 2017'!H501</f>
        <v>0</v>
      </c>
      <c r="H499" s="158">
        <f>'prévision 2017'!G501</f>
        <v>0</v>
      </c>
    </row>
    <row r="500" spans="1:8" ht="30" customHeight="1">
      <c r="A500" s="165" t="s">
        <v>81</v>
      </c>
      <c r="B500" s="411" t="s">
        <v>415</v>
      </c>
      <c r="C500" s="412" t="s">
        <v>481</v>
      </c>
      <c r="D500" s="379" t="s">
        <v>463</v>
      </c>
      <c r="F500" s="520">
        <f>SUM(F494:F499)</f>
        <v>13854000</v>
      </c>
      <c r="G500" s="520">
        <f>SUM(G494:G499)</f>
        <v>20295185.029999997</v>
      </c>
      <c r="H500" s="166">
        <f>SUM(H494:H499)</f>
        <v>13854000</v>
      </c>
    </row>
    <row r="501" spans="1:7" ht="30" customHeight="1">
      <c r="A501" s="165" t="s">
        <v>81</v>
      </c>
      <c r="B501" s="405" t="s">
        <v>416</v>
      </c>
      <c r="C501" s="435" t="s">
        <v>91</v>
      </c>
      <c r="D501" s="434"/>
      <c r="F501" s="386"/>
      <c r="G501" s="596"/>
    </row>
    <row r="502" spans="1:8" ht="30" customHeight="1">
      <c r="A502" s="165" t="s">
        <v>81</v>
      </c>
      <c r="B502" s="405" t="s">
        <v>416</v>
      </c>
      <c r="C502" s="384" t="s">
        <v>481</v>
      </c>
      <c r="D502" s="365">
        <v>6611</v>
      </c>
      <c r="E502" s="368" t="s">
        <v>6</v>
      </c>
      <c r="F502" s="386">
        <f>'prévision 2017'!I504</f>
        <v>6419472</v>
      </c>
      <c r="G502" s="386">
        <f>'prévision 2017'!H504</f>
        <v>6839481</v>
      </c>
      <c r="H502" s="158">
        <f>'prévision 2017'!G504</f>
        <v>6419472</v>
      </c>
    </row>
    <row r="503" spans="1:8" ht="30" customHeight="1">
      <c r="A503" s="165" t="s">
        <v>81</v>
      </c>
      <c r="B503" s="411" t="s">
        <v>416</v>
      </c>
      <c r="C503" s="384" t="s">
        <v>481</v>
      </c>
      <c r="D503" s="365">
        <v>6161</v>
      </c>
      <c r="E503" s="368" t="s">
        <v>257</v>
      </c>
      <c r="F503" s="386">
        <f>'prévision 2017'!I505</f>
        <v>0</v>
      </c>
      <c r="G503" s="386">
        <f>'prévision 2017'!H505</f>
        <v>0</v>
      </c>
      <c r="H503" s="158">
        <f>'prévision 2017'!G505</f>
        <v>0</v>
      </c>
    </row>
    <row r="504" spans="1:8" ht="30" customHeight="1">
      <c r="A504" s="165" t="s">
        <v>81</v>
      </c>
      <c r="B504" s="411" t="s">
        <v>416</v>
      </c>
      <c r="C504" s="384" t="s">
        <v>481</v>
      </c>
      <c r="D504" s="365">
        <v>6173</v>
      </c>
      <c r="E504" s="368" t="s">
        <v>19</v>
      </c>
      <c r="F504" s="386">
        <f>'prévision 2017'!I506</f>
        <v>3700000</v>
      </c>
      <c r="G504" s="386">
        <f>'prévision 2017'!H506</f>
        <v>2775000</v>
      </c>
      <c r="H504" s="158">
        <f>'prévision 2017'!G506</f>
        <v>3700000</v>
      </c>
    </row>
    <row r="505" spans="1:8" ht="30" customHeight="1">
      <c r="A505" s="165" t="s">
        <v>81</v>
      </c>
      <c r="B505" s="411" t="s">
        <v>416</v>
      </c>
      <c r="C505" s="412" t="s">
        <v>481</v>
      </c>
      <c r="D505" s="379" t="s">
        <v>463</v>
      </c>
      <c r="F505" s="520">
        <f>SUM(F502:F504)</f>
        <v>10119472</v>
      </c>
      <c r="G505" s="520">
        <f>SUM(G502:G504)</f>
        <v>9614481</v>
      </c>
      <c r="H505" s="166">
        <f>SUM(H502:H504)</f>
        <v>10119472</v>
      </c>
    </row>
    <row r="506" spans="1:7" ht="30" customHeight="1">
      <c r="A506" s="165" t="s">
        <v>81</v>
      </c>
      <c r="B506" s="405" t="s">
        <v>417</v>
      </c>
      <c r="C506" s="436" t="s">
        <v>308</v>
      </c>
      <c r="F506" s="386"/>
      <c r="G506" s="596"/>
    </row>
    <row r="507" spans="1:8" ht="30" customHeight="1">
      <c r="A507" s="165" t="s">
        <v>81</v>
      </c>
      <c r="B507" s="405" t="s">
        <v>417</v>
      </c>
      <c r="C507" s="384" t="s">
        <v>481</v>
      </c>
      <c r="D507" s="365">
        <v>6611</v>
      </c>
      <c r="E507" s="368" t="s">
        <v>6</v>
      </c>
      <c r="F507" s="386">
        <f>'prévision 2017'!I509</f>
        <v>38700000</v>
      </c>
      <c r="G507" s="386">
        <f>'prévision 2017'!H509</f>
        <v>45681333.32</v>
      </c>
      <c r="H507" s="158">
        <f>'prévision 2017'!G509</f>
        <v>38700000</v>
      </c>
    </row>
    <row r="508" spans="1:8" ht="30" customHeight="1">
      <c r="A508" s="165" t="s">
        <v>81</v>
      </c>
      <c r="B508" s="411" t="s">
        <v>417</v>
      </c>
      <c r="C508" s="384" t="s">
        <v>481</v>
      </c>
      <c r="D508" s="365">
        <v>6161</v>
      </c>
      <c r="E508" s="368" t="s">
        <v>257</v>
      </c>
      <c r="F508" s="386">
        <f>'prévision 2017'!I510</f>
        <v>0</v>
      </c>
      <c r="G508" s="386">
        <f>'prévision 2017'!H510</f>
        <v>0</v>
      </c>
      <c r="H508" s="158">
        <f>'prévision 2017'!G510</f>
        <v>0</v>
      </c>
    </row>
    <row r="509" spans="1:8" ht="30" customHeight="1">
      <c r="A509" s="165" t="s">
        <v>81</v>
      </c>
      <c r="B509" s="411" t="s">
        <v>417</v>
      </c>
      <c r="C509" s="384" t="s">
        <v>481</v>
      </c>
      <c r="D509" s="365">
        <v>6173</v>
      </c>
      <c r="E509" s="368" t="s">
        <v>19</v>
      </c>
      <c r="F509" s="386">
        <f>'prévision 2017'!I511</f>
        <v>4300000</v>
      </c>
      <c r="G509" s="386">
        <f>'prévision 2017'!H511</f>
        <v>1075000</v>
      </c>
      <c r="H509" s="158">
        <f>'prévision 2017'!G511</f>
        <v>4300000</v>
      </c>
    </row>
    <row r="510" spans="1:8" ht="30" customHeight="1">
      <c r="A510" s="165" t="s">
        <v>81</v>
      </c>
      <c r="B510" s="411" t="s">
        <v>417</v>
      </c>
      <c r="C510" s="412" t="s">
        <v>481</v>
      </c>
      <c r="D510" s="379" t="s">
        <v>463</v>
      </c>
      <c r="F510" s="520">
        <f>SUM(F507:F509)</f>
        <v>43000000</v>
      </c>
      <c r="G510" s="520">
        <f>SUM(G507:G509)</f>
        <v>46756333.32</v>
      </c>
      <c r="H510" s="166">
        <f>SUM(H507:H509)</f>
        <v>43000000</v>
      </c>
    </row>
    <row r="511" spans="1:7" ht="30" customHeight="1">
      <c r="A511" s="165" t="s">
        <v>81</v>
      </c>
      <c r="B511" s="405" t="s">
        <v>418</v>
      </c>
      <c r="C511" s="436" t="s">
        <v>294</v>
      </c>
      <c r="F511" s="386"/>
      <c r="G511" s="596"/>
    </row>
    <row r="512" spans="1:8" ht="30" customHeight="1">
      <c r="A512" s="165" t="s">
        <v>81</v>
      </c>
      <c r="B512" s="405" t="s">
        <v>418</v>
      </c>
      <c r="C512" s="384" t="s">
        <v>481</v>
      </c>
      <c r="D512" s="365">
        <v>6611</v>
      </c>
      <c r="E512" s="368" t="s">
        <v>6</v>
      </c>
      <c r="F512" s="386">
        <f>'prévision 2017'!I514</f>
        <v>3524928</v>
      </c>
      <c r="G512" s="386">
        <f>'prévision 2017'!H514</f>
        <v>42877887.769999996</v>
      </c>
      <c r="H512" s="158">
        <f>'prévision 2017'!G514</f>
        <v>3524928</v>
      </c>
    </row>
    <row r="513" spans="1:8" ht="30" customHeight="1">
      <c r="A513" s="165" t="s">
        <v>81</v>
      </c>
      <c r="B513" s="411" t="s">
        <v>418</v>
      </c>
      <c r="C513" s="384" t="s">
        <v>481</v>
      </c>
      <c r="D513" s="365">
        <v>6161</v>
      </c>
      <c r="E513" s="368" t="s">
        <v>257</v>
      </c>
      <c r="F513" s="386">
        <f>'prévision 2017'!I515</f>
        <v>0</v>
      </c>
      <c r="G513" s="386">
        <f>'prévision 2017'!H515</f>
        <v>0</v>
      </c>
      <c r="H513" s="158">
        <f>'prévision 2017'!G515</f>
        <v>0</v>
      </c>
    </row>
    <row r="514" spans="1:8" ht="30" customHeight="1">
      <c r="A514" s="165" t="s">
        <v>81</v>
      </c>
      <c r="B514" s="411" t="s">
        <v>418</v>
      </c>
      <c r="C514" s="384" t="s">
        <v>481</v>
      </c>
      <c r="D514" s="365">
        <v>6173</v>
      </c>
      <c r="E514" s="368" t="s">
        <v>19</v>
      </c>
      <c r="F514" s="386">
        <f>'prévision 2017'!I516</f>
        <v>3500000</v>
      </c>
      <c r="G514" s="386">
        <f>'prévision 2017'!H516</f>
        <v>2625000</v>
      </c>
      <c r="H514" s="158">
        <f>'prévision 2017'!G516</f>
        <v>3500000</v>
      </c>
    </row>
    <row r="515" spans="1:8" ht="30" customHeight="1">
      <c r="A515" s="165" t="s">
        <v>81</v>
      </c>
      <c r="B515" s="411" t="s">
        <v>418</v>
      </c>
      <c r="C515" s="412" t="s">
        <v>481</v>
      </c>
      <c r="D515" s="379" t="s">
        <v>463</v>
      </c>
      <c r="F515" s="520">
        <f>SUM(F512:F514)</f>
        <v>7024928</v>
      </c>
      <c r="G515" s="520">
        <f>SUM(G512:G514)</f>
        <v>45502887.769999996</v>
      </c>
      <c r="H515" s="414">
        <f>SUM(H512:H514)</f>
        <v>7024928</v>
      </c>
    </row>
    <row r="516" spans="1:8" ht="30" customHeight="1">
      <c r="A516" s="165" t="s">
        <v>81</v>
      </c>
      <c r="B516" s="411" t="s">
        <v>419</v>
      </c>
      <c r="C516" s="412" t="s">
        <v>481</v>
      </c>
      <c r="D516" s="437" t="s">
        <v>620</v>
      </c>
      <c r="F516" s="386"/>
      <c r="G516" s="596"/>
      <c r="H516" s="438"/>
    </row>
    <row r="517" spans="1:8" ht="30" customHeight="1">
      <c r="A517" s="165" t="s">
        <v>81</v>
      </c>
      <c r="B517" s="411" t="s">
        <v>419</v>
      </c>
      <c r="C517" s="412" t="s">
        <v>481</v>
      </c>
      <c r="D517" s="365">
        <v>6611</v>
      </c>
      <c r="E517" s="368" t="s">
        <v>6</v>
      </c>
      <c r="F517" s="386">
        <f>'prévision 2017'!I519</f>
        <v>22173200</v>
      </c>
      <c r="G517" s="386">
        <f>'prévision 2017'!H519</f>
        <v>27242200.040000007</v>
      </c>
      <c r="H517" s="438">
        <f>'prévision 2017'!G519</f>
        <v>22173200</v>
      </c>
    </row>
    <row r="518" spans="1:8" ht="30" customHeight="1">
      <c r="A518" s="165" t="s">
        <v>81</v>
      </c>
      <c r="B518" s="411" t="s">
        <v>419</v>
      </c>
      <c r="C518" s="412" t="s">
        <v>481</v>
      </c>
      <c r="D518" s="365">
        <v>6161</v>
      </c>
      <c r="E518" s="368" t="s">
        <v>257</v>
      </c>
      <c r="F518" s="386">
        <f>'prévision 2017'!I520</f>
        <v>0</v>
      </c>
      <c r="G518" s="386">
        <f>'prévision 2017'!H520</f>
        <v>0</v>
      </c>
      <c r="H518" s="438">
        <f>'prévision 2017'!G520</f>
        <v>0</v>
      </c>
    </row>
    <row r="519" spans="1:8" ht="30" customHeight="1">
      <c r="A519" s="165" t="s">
        <v>81</v>
      </c>
      <c r="B519" s="411" t="s">
        <v>419</v>
      </c>
      <c r="C519" s="412" t="s">
        <v>481</v>
      </c>
      <c r="D519" s="365">
        <v>6173</v>
      </c>
      <c r="E519" s="368" t="s">
        <v>19</v>
      </c>
      <c r="F519" s="386">
        <f>'prévision 2017'!I521</f>
        <v>0</v>
      </c>
      <c r="G519" s="386">
        <f>'prévision 2017'!H521</f>
        <v>0</v>
      </c>
      <c r="H519" s="438">
        <f>'prévision 2017'!G521</f>
        <v>0</v>
      </c>
    </row>
    <row r="520" spans="1:8" ht="30" customHeight="1">
      <c r="A520" s="165" t="s">
        <v>81</v>
      </c>
      <c r="B520" s="411" t="s">
        <v>419</v>
      </c>
      <c r="C520" s="412" t="s">
        <v>481</v>
      </c>
      <c r="D520" s="379" t="s">
        <v>463</v>
      </c>
      <c r="F520" s="386">
        <f>SUM(F517:F519)</f>
        <v>22173200</v>
      </c>
      <c r="G520" s="520">
        <f>SUM(G517:G519)</f>
        <v>27242200.040000007</v>
      </c>
      <c r="H520" s="166">
        <f>SUM(H517:H519)</f>
        <v>22173200</v>
      </c>
    </row>
    <row r="521" spans="1:8" ht="30" customHeight="1">
      <c r="A521" s="165" t="s">
        <v>81</v>
      </c>
      <c r="B521" s="411" t="s">
        <v>529</v>
      </c>
      <c r="C521" s="412" t="s">
        <v>481</v>
      </c>
      <c r="D521" s="437" t="s">
        <v>622</v>
      </c>
      <c r="E521" s="416"/>
      <c r="F521" s="386"/>
      <c r="G521" s="596"/>
      <c r="H521" s="438"/>
    </row>
    <row r="522" spans="1:8" ht="30" customHeight="1">
      <c r="A522" s="165" t="s">
        <v>81</v>
      </c>
      <c r="B522" s="411" t="s">
        <v>529</v>
      </c>
      <c r="C522" s="412" t="s">
        <v>481</v>
      </c>
      <c r="D522" s="365">
        <v>6611</v>
      </c>
      <c r="E522" s="368" t="s">
        <v>6</v>
      </c>
      <c r="F522" s="386">
        <f>'prévision 2017'!I524</f>
        <v>48927631</v>
      </c>
      <c r="G522" s="386">
        <f>'prévision 2017'!H524</f>
        <v>48878631.20000001</v>
      </c>
      <c r="H522" s="438">
        <f>'prévision 2017'!G524</f>
        <v>48927631</v>
      </c>
    </row>
    <row r="523" spans="1:8" ht="30" customHeight="1">
      <c r="A523" s="165" t="s">
        <v>81</v>
      </c>
      <c r="B523" s="411" t="s">
        <v>529</v>
      </c>
      <c r="C523" s="412" t="s">
        <v>481</v>
      </c>
      <c r="D523" s="365">
        <v>6161</v>
      </c>
      <c r="E523" s="368" t="s">
        <v>257</v>
      </c>
      <c r="F523" s="386">
        <f>'prévision 2017'!I525</f>
        <v>0</v>
      </c>
      <c r="G523" s="386">
        <f>'prévision 2017'!H525</f>
        <v>0</v>
      </c>
      <c r="H523" s="438">
        <f>'prévision 2017'!G525</f>
        <v>0</v>
      </c>
    </row>
    <row r="524" spans="1:8" ht="30" customHeight="1">
      <c r="A524" s="165" t="s">
        <v>81</v>
      </c>
      <c r="B524" s="411" t="s">
        <v>529</v>
      </c>
      <c r="C524" s="412" t="s">
        <v>481</v>
      </c>
      <c r="D524" s="365">
        <v>6173</v>
      </c>
      <c r="E524" s="368" t="s">
        <v>19</v>
      </c>
      <c r="F524" s="386">
        <f>'prévision 2017'!I526</f>
        <v>0</v>
      </c>
      <c r="G524" s="386">
        <f>'prévision 2017'!H526</f>
        <v>0</v>
      </c>
      <c r="H524" s="438">
        <f>'prévision 2017'!G526</f>
        <v>0</v>
      </c>
    </row>
    <row r="525" spans="1:8" ht="30" customHeight="1">
      <c r="A525" s="165" t="s">
        <v>81</v>
      </c>
      <c r="B525" s="411" t="s">
        <v>529</v>
      </c>
      <c r="C525" s="412" t="s">
        <v>481</v>
      </c>
      <c r="D525" s="379" t="s">
        <v>463</v>
      </c>
      <c r="F525" s="520">
        <f>SUM(F522:F524)</f>
        <v>48927631</v>
      </c>
      <c r="G525" s="520">
        <f>SUM(G522:G524)</f>
        <v>48878631.20000001</v>
      </c>
      <c r="H525" s="166">
        <f>SUM(H522:H524)</f>
        <v>48927631</v>
      </c>
    </row>
    <row r="526" spans="1:8" ht="30" customHeight="1">
      <c r="A526" s="165" t="s">
        <v>81</v>
      </c>
      <c r="B526" s="411" t="s">
        <v>621</v>
      </c>
      <c r="C526" s="412" t="s">
        <v>481</v>
      </c>
      <c r="D526" s="439" t="s">
        <v>530</v>
      </c>
      <c r="E526" s="416"/>
      <c r="F526" s="386"/>
      <c r="G526" s="596"/>
      <c r="H526" s="438"/>
    </row>
    <row r="527" spans="1:8" ht="30" customHeight="1">
      <c r="A527" s="165" t="s">
        <v>81</v>
      </c>
      <c r="B527" s="411" t="s">
        <v>621</v>
      </c>
      <c r="C527" s="412" t="s">
        <v>481</v>
      </c>
      <c r="D527" s="365">
        <v>6611</v>
      </c>
      <c r="E527" s="368" t="s">
        <v>6</v>
      </c>
      <c r="F527" s="386">
        <f>'prévision 2017'!I529</f>
        <v>0</v>
      </c>
      <c r="G527" s="386">
        <f>'prévision 2017'!H529</f>
        <v>0</v>
      </c>
      <c r="H527" s="438">
        <f>'prévision 2017'!G529</f>
        <v>0</v>
      </c>
    </row>
    <row r="528" spans="1:8" ht="30" customHeight="1">
      <c r="A528" s="165" t="s">
        <v>81</v>
      </c>
      <c r="B528" s="411" t="s">
        <v>621</v>
      </c>
      <c r="C528" s="412"/>
      <c r="D528" s="365">
        <v>60100</v>
      </c>
      <c r="E528" s="368" t="s">
        <v>34</v>
      </c>
      <c r="F528" s="386">
        <f>'prévision 2017'!I530</f>
        <v>900000</v>
      </c>
      <c r="G528" s="386">
        <f>'prévision 2017'!H530</f>
        <v>812450</v>
      </c>
      <c r="H528" s="438">
        <f>'prévision 2017'!G530</f>
        <v>900000</v>
      </c>
    </row>
    <row r="529" spans="1:8" ht="30" customHeight="1">
      <c r="A529" s="165" t="s">
        <v>81</v>
      </c>
      <c r="B529" s="411" t="s">
        <v>621</v>
      </c>
      <c r="C529" s="412"/>
      <c r="D529" s="365">
        <v>6122</v>
      </c>
      <c r="E529" s="389" t="s">
        <v>582</v>
      </c>
      <c r="F529" s="386">
        <f>'prévision 2017'!I531</f>
        <v>600000</v>
      </c>
      <c r="G529" s="386">
        <f>'prévision 2017'!H531</f>
        <v>585500</v>
      </c>
      <c r="H529" s="438">
        <f>'prévision 2017'!G531</f>
        <v>600000</v>
      </c>
    </row>
    <row r="530" spans="1:8" ht="30" customHeight="1">
      <c r="A530" s="165" t="s">
        <v>81</v>
      </c>
      <c r="B530" s="411" t="s">
        <v>621</v>
      </c>
      <c r="C530" s="412"/>
      <c r="D530" s="365">
        <v>6175</v>
      </c>
      <c r="E530" s="368" t="s">
        <v>13</v>
      </c>
      <c r="F530" s="386">
        <f>'prévision 2017'!I532</f>
        <v>500000</v>
      </c>
      <c r="G530" s="386">
        <f>'prévision 2017'!H532</f>
        <v>375000</v>
      </c>
      <c r="H530" s="438">
        <f>'prévision 2017'!G532</f>
        <v>500000</v>
      </c>
    </row>
    <row r="531" spans="1:8" ht="30" customHeight="1">
      <c r="A531" s="165" t="s">
        <v>81</v>
      </c>
      <c r="B531" s="411" t="s">
        <v>621</v>
      </c>
      <c r="C531" s="412"/>
      <c r="D531" s="379" t="s">
        <v>463</v>
      </c>
      <c r="F531" s="520">
        <f>SUM(F527:F530)</f>
        <v>2000000</v>
      </c>
      <c r="G531" s="520">
        <f>SUM(G527:G530)</f>
        <v>1772950</v>
      </c>
      <c r="H531" s="166">
        <f>SUM(H527:H530)</f>
        <v>2000000</v>
      </c>
    </row>
    <row r="532" spans="1:7" ht="30" customHeight="1">
      <c r="A532" s="165" t="s">
        <v>81</v>
      </c>
      <c r="B532" s="405" t="s">
        <v>658</v>
      </c>
      <c r="C532" s="423" t="s">
        <v>62</v>
      </c>
      <c r="F532" s="386"/>
      <c r="G532" s="596"/>
    </row>
    <row r="533" spans="1:8" ht="30" customHeight="1">
      <c r="A533" s="165" t="s">
        <v>81</v>
      </c>
      <c r="B533" s="411" t="s">
        <v>658</v>
      </c>
      <c r="C533" s="384" t="s">
        <v>481</v>
      </c>
      <c r="D533" s="365">
        <v>2128</v>
      </c>
      <c r="E533" s="368" t="s">
        <v>310</v>
      </c>
      <c r="F533" s="386">
        <f>'prévision 2017'!I535</f>
        <v>0</v>
      </c>
      <c r="G533" s="386">
        <f>'prévision 2017'!H535</f>
        <v>0</v>
      </c>
      <c r="H533" s="158">
        <f>'prévision 2017'!G535</f>
        <v>0</v>
      </c>
    </row>
    <row r="534" spans="1:8" ht="30" customHeight="1">
      <c r="A534" s="165" t="s">
        <v>81</v>
      </c>
      <c r="B534" s="411" t="s">
        <v>658</v>
      </c>
      <c r="C534" s="412" t="s">
        <v>481</v>
      </c>
      <c r="D534" s="379" t="s">
        <v>463</v>
      </c>
      <c r="F534" s="520">
        <f>F533</f>
        <v>0</v>
      </c>
      <c r="G534" s="520">
        <f>G533</f>
        <v>0</v>
      </c>
      <c r="H534" s="414">
        <f>H533</f>
        <v>0</v>
      </c>
    </row>
    <row r="535" spans="1:8" ht="30" customHeight="1">
      <c r="A535" s="165" t="s">
        <v>81</v>
      </c>
      <c r="B535" s="448" t="s">
        <v>685</v>
      </c>
      <c r="C535" s="384" t="s">
        <v>481</v>
      </c>
      <c r="D535" s="562" t="s">
        <v>686</v>
      </c>
      <c r="F535" s="386"/>
      <c r="G535" s="386"/>
      <c r="H535" s="414"/>
    </row>
    <row r="536" spans="1:8" ht="30" customHeight="1">
      <c r="A536" s="165" t="s">
        <v>81</v>
      </c>
      <c r="B536" s="448" t="s">
        <v>685</v>
      </c>
      <c r="C536" s="412" t="s">
        <v>481</v>
      </c>
      <c r="D536" s="218">
        <v>6311</v>
      </c>
      <c r="E536" s="563" t="s">
        <v>594</v>
      </c>
      <c r="F536" s="386">
        <f>'prévision 2017'!I538</f>
        <v>10000000</v>
      </c>
      <c r="G536" s="386">
        <f>'prévision 2017'!H538</f>
        <v>0</v>
      </c>
      <c r="H536" s="564"/>
    </row>
    <row r="537" spans="1:8" ht="30" customHeight="1">
      <c r="A537" s="165" t="s">
        <v>81</v>
      </c>
      <c r="B537" s="448" t="s">
        <v>685</v>
      </c>
      <c r="C537" s="384" t="s">
        <v>481</v>
      </c>
      <c r="D537" s="379" t="s">
        <v>463</v>
      </c>
      <c r="F537" s="520">
        <f>SUM(F536)</f>
        <v>10000000</v>
      </c>
      <c r="G537" s="520">
        <f>SUM(G536)</f>
        <v>0</v>
      </c>
      <c r="H537" s="386">
        <f>SUM(H536)</f>
        <v>0</v>
      </c>
    </row>
    <row r="538" spans="1:8" ht="30" customHeight="1">
      <c r="A538" s="165" t="s">
        <v>81</v>
      </c>
      <c r="B538" s="424" t="s">
        <v>72</v>
      </c>
      <c r="F538" s="520">
        <f>F534+F531+F525+F520+F515+F510+F505+F500+F492+F487+F483+F478+F473+F468+F464+F460+F455+F450+F445+F440+F436+F430+F425+F417+F537</f>
        <v>1293828673</v>
      </c>
      <c r="G538" s="520">
        <f>G534+G531+G525+G520+G515+G510+G505+G500+G492+G487+G483+G478+G473+G468+G464+G460+G455+G450+G445+G440+G436+G430+G425+G417+G537</f>
        <v>1251500158.88</v>
      </c>
      <c r="H538" s="520">
        <f>H534+H531+H525+H520+H515+H510+H505+H500+H492+H487+H483+H478+H473+H468+H464+H460+H455+H450+H445+H440+H436+H430+H425+H417+H537</f>
        <v>1283828673</v>
      </c>
    </row>
    <row r="539" spans="1:7" ht="30" customHeight="1">
      <c r="A539" s="387" t="s">
        <v>258</v>
      </c>
      <c r="B539" s="517" t="s">
        <v>624</v>
      </c>
      <c r="F539" s="386"/>
      <c r="G539" s="596"/>
    </row>
    <row r="540" spans="1:7" ht="30" customHeight="1">
      <c r="A540" s="387" t="s">
        <v>258</v>
      </c>
      <c r="B540" s="405" t="s">
        <v>420</v>
      </c>
      <c r="C540" s="413" t="s">
        <v>93</v>
      </c>
      <c r="F540" s="386"/>
      <c r="G540" s="596"/>
    </row>
    <row r="541" spans="1:8" ht="30" customHeight="1">
      <c r="A541" s="165" t="s">
        <v>258</v>
      </c>
      <c r="B541" s="411" t="s">
        <v>420</v>
      </c>
      <c r="C541" s="384" t="s">
        <v>458</v>
      </c>
      <c r="D541" s="365">
        <v>6611</v>
      </c>
      <c r="E541" s="368" t="s">
        <v>6</v>
      </c>
      <c r="F541" s="386">
        <f>'prévision 2017'!I543</f>
        <v>137578956</v>
      </c>
      <c r="G541" s="386">
        <f>'prévision 2017'!H543</f>
        <v>214865994.59999996</v>
      </c>
      <c r="H541" s="158">
        <f>'prévision 2017'!G543</f>
        <v>137578956</v>
      </c>
    </row>
    <row r="542" spans="1:8" ht="30" customHeight="1">
      <c r="A542" s="165" t="s">
        <v>258</v>
      </c>
      <c r="B542" s="411" t="s">
        <v>420</v>
      </c>
      <c r="C542" s="384" t="s">
        <v>458</v>
      </c>
      <c r="D542" s="365">
        <v>60100</v>
      </c>
      <c r="E542" s="368" t="s">
        <v>34</v>
      </c>
      <c r="F542" s="386">
        <f>'prévision 2017'!I544</f>
        <v>2020000</v>
      </c>
      <c r="G542" s="386">
        <f>'prévision 2017'!H544</f>
        <v>1515000</v>
      </c>
      <c r="H542" s="158">
        <f>'prévision 2017'!G544</f>
        <v>2020000</v>
      </c>
    </row>
    <row r="543" spans="1:8" ht="30" customHeight="1">
      <c r="A543" s="165" t="s">
        <v>258</v>
      </c>
      <c r="B543" s="411" t="s">
        <v>420</v>
      </c>
      <c r="C543" s="384" t="s">
        <v>458</v>
      </c>
      <c r="D543" s="365">
        <v>6122</v>
      </c>
      <c r="E543" s="389" t="s">
        <v>582</v>
      </c>
      <c r="F543" s="386">
        <f>'prévision 2017'!I545</f>
        <v>1818000</v>
      </c>
      <c r="G543" s="386">
        <f>'prévision 2017'!H545</f>
        <v>1363500</v>
      </c>
      <c r="H543" s="158">
        <f>'prévision 2017'!G545</f>
        <v>1818000</v>
      </c>
    </row>
    <row r="544" spans="1:8" ht="30" customHeight="1">
      <c r="A544" s="165" t="s">
        <v>258</v>
      </c>
      <c r="B544" s="411" t="s">
        <v>420</v>
      </c>
      <c r="C544" s="384" t="s">
        <v>458</v>
      </c>
      <c r="D544" s="365">
        <v>6175</v>
      </c>
      <c r="E544" s="368" t="s">
        <v>13</v>
      </c>
      <c r="F544" s="386">
        <f>'prévision 2017'!I546</f>
        <v>3030000</v>
      </c>
      <c r="G544" s="386">
        <f>'prévision 2017'!H546</f>
        <v>2272500</v>
      </c>
      <c r="H544" s="158">
        <f>'prévision 2017'!G546</f>
        <v>3030000</v>
      </c>
    </row>
    <row r="545" spans="1:8" ht="30" customHeight="1">
      <c r="A545" s="165" t="s">
        <v>258</v>
      </c>
      <c r="B545" s="411" t="s">
        <v>420</v>
      </c>
      <c r="C545" s="412" t="s">
        <v>458</v>
      </c>
      <c r="D545" s="379" t="s">
        <v>463</v>
      </c>
      <c r="F545" s="520">
        <f>SUM(F541:F544)</f>
        <v>144446956</v>
      </c>
      <c r="G545" s="520">
        <f>SUM(G541:G544)</f>
        <v>220016994.59999996</v>
      </c>
      <c r="H545" s="166">
        <f>SUM(H541:H544)</f>
        <v>144446956</v>
      </c>
    </row>
    <row r="546" spans="1:7" ht="30" customHeight="1">
      <c r="A546" s="165" t="s">
        <v>258</v>
      </c>
      <c r="B546" s="405" t="s">
        <v>421</v>
      </c>
      <c r="C546" s="440" t="s">
        <v>66</v>
      </c>
      <c r="D546" s="434"/>
      <c r="F546" s="386"/>
      <c r="G546" s="596"/>
    </row>
    <row r="547" spans="1:8" ht="30" customHeight="1">
      <c r="A547" s="165" t="s">
        <v>258</v>
      </c>
      <c r="B547" s="405" t="s">
        <v>421</v>
      </c>
      <c r="C547" s="384" t="s">
        <v>458</v>
      </c>
      <c r="D547" s="365">
        <v>6611</v>
      </c>
      <c r="E547" s="368" t="s">
        <v>6</v>
      </c>
      <c r="F547" s="386">
        <f>'prévision 2017'!I549</f>
        <v>49914316</v>
      </c>
      <c r="G547" s="386">
        <f>'prévision 2017'!H549</f>
        <v>54326968.620000005</v>
      </c>
      <c r="H547" s="158">
        <f>'prévision 2017'!G549</f>
        <v>49914316</v>
      </c>
    </row>
    <row r="548" spans="1:8" ht="30" customHeight="1">
      <c r="A548" s="165" t="s">
        <v>258</v>
      </c>
      <c r="B548" s="411" t="s">
        <v>421</v>
      </c>
      <c r="C548" s="384" t="s">
        <v>458</v>
      </c>
      <c r="D548" s="365">
        <v>60100</v>
      </c>
      <c r="E548" s="368" t="s">
        <v>7</v>
      </c>
      <c r="F548" s="386">
        <f>'prévision 2017'!I550</f>
        <v>1000000</v>
      </c>
      <c r="G548" s="386">
        <f>'prévision 2017'!H550</f>
        <v>500000</v>
      </c>
      <c r="H548" s="158">
        <f>'prévision 2017'!G550</f>
        <v>1000000</v>
      </c>
    </row>
    <row r="549" spans="1:8" ht="30" customHeight="1">
      <c r="A549" s="165" t="s">
        <v>258</v>
      </c>
      <c r="B549" s="411" t="s">
        <v>421</v>
      </c>
      <c r="C549" s="384" t="s">
        <v>458</v>
      </c>
      <c r="D549" s="365">
        <v>60101</v>
      </c>
      <c r="E549" s="368" t="s">
        <v>255</v>
      </c>
      <c r="F549" s="386">
        <f>'prévision 2017'!I551</f>
        <v>0</v>
      </c>
      <c r="G549" s="386">
        <f>'prévision 2017'!H551</f>
        <v>0</v>
      </c>
      <c r="H549" s="158">
        <f>'prévision 2017'!G551</f>
        <v>0</v>
      </c>
    </row>
    <row r="550" spans="1:8" ht="30" customHeight="1">
      <c r="A550" s="165" t="s">
        <v>258</v>
      </c>
      <c r="B550" s="411" t="s">
        <v>421</v>
      </c>
      <c r="C550" s="384" t="s">
        <v>458</v>
      </c>
      <c r="D550" s="365">
        <v>6122</v>
      </c>
      <c r="E550" s="389" t="s">
        <v>582</v>
      </c>
      <c r="F550" s="386">
        <f>'prévision 2017'!I552</f>
        <v>800000</v>
      </c>
      <c r="G550" s="386">
        <f>'prévision 2017'!H552</f>
        <v>400000</v>
      </c>
      <c r="H550" s="158">
        <f>'prévision 2017'!G552</f>
        <v>800000</v>
      </c>
    </row>
    <row r="551" spans="1:8" ht="30" customHeight="1">
      <c r="A551" s="165" t="s">
        <v>258</v>
      </c>
      <c r="B551" s="411" t="s">
        <v>421</v>
      </c>
      <c r="C551" s="384" t="s">
        <v>458</v>
      </c>
      <c r="D551" s="365">
        <v>6175</v>
      </c>
      <c r="E551" s="368" t="s">
        <v>13</v>
      </c>
      <c r="F551" s="386">
        <f>'prévision 2017'!I553</f>
        <v>0</v>
      </c>
      <c r="G551" s="386">
        <f>'prévision 2017'!H553</f>
        <v>0</v>
      </c>
      <c r="H551" s="158">
        <f>'prévision 2017'!G553</f>
        <v>0</v>
      </c>
    </row>
    <row r="552" spans="1:8" ht="30" customHeight="1">
      <c r="A552" s="165" t="s">
        <v>258</v>
      </c>
      <c r="B552" s="411" t="s">
        <v>421</v>
      </c>
      <c r="C552" s="384" t="s">
        <v>458</v>
      </c>
      <c r="D552" s="365">
        <v>2731</v>
      </c>
      <c r="E552" s="368" t="s">
        <v>695</v>
      </c>
      <c r="F552" s="386">
        <f>'prévision 2017'!I554</f>
        <v>3500000000</v>
      </c>
      <c r="G552" s="386">
        <f>'prévision 2017'!H554</f>
        <v>3500000000</v>
      </c>
      <c r="H552" s="158">
        <f>'prévision 2017'!G554</f>
        <v>0</v>
      </c>
    </row>
    <row r="553" spans="1:8" ht="30" customHeight="1">
      <c r="A553" s="165" t="s">
        <v>258</v>
      </c>
      <c r="B553" s="411" t="s">
        <v>421</v>
      </c>
      <c r="C553" s="412" t="s">
        <v>458</v>
      </c>
      <c r="D553" s="379" t="s">
        <v>463</v>
      </c>
      <c r="F553" s="520">
        <f>SUM(F547:F552)</f>
        <v>3551714316</v>
      </c>
      <c r="G553" s="520">
        <f>SUM(G547:G552)</f>
        <v>3555226968.62</v>
      </c>
      <c r="H553" s="523">
        <f>SUM(H547:H552)</f>
        <v>51714316</v>
      </c>
    </row>
    <row r="554" spans="1:7" ht="30" customHeight="1">
      <c r="A554" s="165" t="s">
        <v>258</v>
      </c>
      <c r="B554" s="405" t="s">
        <v>422</v>
      </c>
      <c r="C554" s="440" t="s">
        <v>316</v>
      </c>
      <c r="D554" s="434"/>
      <c r="F554" s="386"/>
      <c r="G554" s="596"/>
    </row>
    <row r="555" spans="1:8" ht="30" customHeight="1">
      <c r="A555" s="165" t="s">
        <v>258</v>
      </c>
      <c r="B555" s="405" t="s">
        <v>422</v>
      </c>
      <c r="C555" s="384" t="s">
        <v>458</v>
      </c>
      <c r="D555" s="365">
        <v>6611</v>
      </c>
      <c r="E555" s="368" t="s">
        <v>6</v>
      </c>
      <c r="F555" s="386">
        <f>'prévision 2017'!I557</f>
        <v>0</v>
      </c>
      <c r="G555" s="386">
        <f>'prévision 2017'!H557</f>
        <v>0</v>
      </c>
      <c r="H555" s="158">
        <f>'prévision 2017'!G557</f>
        <v>0</v>
      </c>
    </row>
    <row r="556" spans="1:8" ht="30" customHeight="1">
      <c r="A556" s="165" t="s">
        <v>258</v>
      </c>
      <c r="B556" s="411" t="s">
        <v>422</v>
      </c>
      <c r="C556" s="384" t="s">
        <v>458</v>
      </c>
      <c r="D556" s="365">
        <v>60100</v>
      </c>
      <c r="E556" s="368" t="s">
        <v>34</v>
      </c>
      <c r="F556" s="386">
        <f>'prévision 2017'!I558</f>
        <v>0</v>
      </c>
      <c r="G556" s="386">
        <f>'prévision 2017'!H558</f>
        <v>0</v>
      </c>
      <c r="H556" s="158">
        <f>'prévision 2017'!G558</f>
        <v>0</v>
      </c>
    </row>
    <row r="557" spans="1:8" ht="30" customHeight="1">
      <c r="A557" s="165" t="s">
        <v>258</v>
      </c>
      <c r="B557" s="411" t="s">
        <v>422</v>
      </c>
      <c r="C557" s="384" t="s">
        <v>458</v>
      </c>
      <c r="D557" s="365">
        <v>6173</v>
      </c>
      <c r="E557" s="368" t="s">
        <v>19</v>
      </c>
      <c r="F557" s="386">
        <f>'prévision 2017'!I559</f>
        <v>8000000</v>
      </c>
      <c r="G557" s="386">
        <f>'prévision 2017'!H559</f>
        <v>0</v>
      </c>
      <c r="H557" s="158">
        <f>'prévision 2017'!G559</f>
        <v>8000000</v>
      </c>
    </row>
    <row r="558" spans="1:8" ht="30" customHeight="1">
      <c r="A558" s="165" t="s">
        <v>258</v>
      </c>
      <c r="B558" s="411" t="s">
        <v>422</v>
      </c>
      <c r="C558" s="412" t="s">
        <v>458</v>
      </c>
      <c r="D558" s="379" t="s">
        <v>463</v>
      </c>
      <c r="F558" s="520">
        <f>SUM(F555:F557)</f>
        <v>8000000</v>
      </c>
      <c r="G558" s="520">
        <f>SUM(G555:G557)</f>
        <v>0</v>
      </c>
      <c r="H558" s="166">
        <f>SUM(H555:H557)</f>
        <v>8000000</v>
      </c>
    </row>
    <row r="559" spans="1:7" ht="30" customHeight="1">
      <c r="A559" s="165" t="s">
        <v>258</v>
      </c>
      <c r="B559" s="405" t="s">
        <v>423</v>
      </c>
      <c r="C559" s="380" t="s">
        <v>253</v>
      </c>
      <c r="D559" s="434"/>
      <c r="F559" s="386"/>
      <c r="G559" s="596"/>
    </row>
    <row r="560" spans="1:8" ht="30" customHeight="1">
      <c r="A560" s="165" t="s">
        <v>258</v>
      </c>
      <c r="B560" s="405" t="s">
        <v>423</v>
      </c>
      <c r="C560" s="384" t="s">
        <v>466</v>
      </c>
      <c r="D560" s="365">
        <v>6173</v>
      </c>
      <c r="E560" s="368" t="s">
        <v>224</v>
      </c>
      <c r="F560" s="386">
        <f>'prévision 2017'!I562</f>
        <v>40000000</v>
      </c>
      <c r="G560" s="386">
        <f>'prévision 2017'!H562</f>
        <v>30000000</v>
      </c>
      <c r="H560" s="158">
        <f>'prévision 2017'!G562</f>
        <v>40000000</v>
      </c>
    </row>
    <row r="561" spans="1:8" ht="30" customHeight="1">
      <c r="A561" s="165" t="s">
        <v>258</v>
      </c>
      <c r="B561" s="411" t="s">
        <v>423</v>
      </c>
      <c r="C561" s="412" t="s">
        <v>466</v>
      </c>
      <c r="D561" s="379" t="s">
        <v>463</v>
      </c>
      <c r="F561" s="520">
        <f>F560</f>
        <v>40000000</v>
      </c>
      <c r="G561" s="520">
        <f>G560</f>
        <v>30000000</v>
      </c>
      <c r="H561" s="166">
        <f>H560</f>
        <v>40000000</v>
      </c>
    </row>
    <row r="562" spans="1:7" ht="30" customHeight="1">
      <c r="A562" s="165" t="s">
        <v>258</v>
      </c>
      <c r="B562" s="405" t="s">
        <v>424</v>
      </c>
      <c r="C562" s="430" t="s">
        <v>94</v>
      </c>
      <c r="F562" s="386"/>
      <c r="G562" s="596"/>
    </row>
    <row r="563" spans="1:8" ht="30" customHeight="1">
      <c r="A563" s="165" t="s">
        <v>258</v>
      </c>
      <c r="B563" s="405" t="s">
        <v>424</v>
      </c>
      <c r="C563" s="384" t="s">
        <v>458</v>
      </c>
      <c r="D563" s="365">
        <v>6611</v>
      </c>
      <c r="E563" s="368" t="s">
        <v>6</v>
      </c>
      <c r="F563" s="386">
        <f>'prévision 2017'!I565</f>
        <v>91732808</v>
      </c>
      <c r="G563" s="386">
        <f>'prévision 2017'!H565</f>
        <v>95070067.68</v>
      </c>
      <c r="H563" s="158">
        <f>'prévision 2017'!G565</f>
        <v>91732808</v>
      </c>
    </row>
    <row r="564" spans="1:8" ht="30" customHeight="1">
      <c r="A564" s="165" t="s">
        <v>258</v>
      </c>
      <c r="B564" s="411" t="s">
        <v>424</v>
      </c>
      <c r="C564" s="384" t="s">
        <v>458</v>
      </c>
      <c r="D564" s="365">
        <v>6682</v>
      </c>
      <c r="E564" s="368" t="s">
        <v>262</v>
      </c>
      <c r="F564" s="386">
        <f>'prévision 2017'!I566</f>
        <v>0</v>
      </c>
      <c r="G564" s="386">
        <f>'prévision 2017'!H566</f>
        <v>0</v>
      </c>
      <c r="H564" s="158">
        <f>'prévision 2017'!G566</f>
        <v>0</v>
      </c>
    </row>
    <row r="565" spans="1:8" ht="30" customHeight="1">
      <c r="A565" s="165" t="s">
        <v>258</v>
      </c>
      <c r="B565" s="411" t="s">
        <v>424</v>
      </c>
      <c r="C565" s="384" t="s">
        <v>458</v>
      </c>
      <c r="D565" s="365">
        <v>60100</v>
      </c>
      <c r="E565" s="368" t="s">
        <v>34</v>
      </c>
      <c r="F565" s="386">
        <f>'prévision 2017'!I567</f>
        <v>5050000</v>
      </c>
      <c r="G565" s="386">
        <f>'prévision 2017'!H567</f>
        <v>5050000</v>
      </c>
      <c r="H565" s="158">
        <f>'prévision 2017'!G567</f>
        <v>5050000</v>
      </c>
    </row>
    <row r="566" spans="1:8" ht="30" customHeight="1">
      <c r="A566" s="165" t="s">
        <v>258</v>
      </c>
      <c r="B566" s="411" t="s">
        <v>424</v>
      </c>
      <c r="C566" s="384" t="s">
        <v>458</v>
      </c>
      <c r="D566" s="365">
        <v>6018</v>
      </c>
      <c r="E566" s="368" t="s">
        <v>314</v>
      </c>
      <c r="F566" s="386">
        <f>'prévision 2017'!I568</f>
        <v>3500000</v>
      </c>
      <c r="G566" s="386">
        <f>'prévision 2017'!H568</f>
        <v>875000</v>
      </c>
      <c r="H566" s="158">
        <f>'prévision 2017'!G568</f>
        <v>3500000</v>
      </c>
    </row>
    <row r="567" spans="1:8" ht="30" customHeight="1">
      <c r="A567" s="165" t="s">
        <v>258</v>
      </c>
      <c r="B567" s="411" t="s">
        <v>424</v>
      </c>
      <c r="C567" s="384" t="s">
        <v>458</v>
      </c>
      <c r="D567" s="365">
        <v>6122</v>
      </c>
      <c r="E567" s="389" t="s">
        <v>582</v>
      </c>
      <c r="F567" s="386">
        <f>'prévision 2017'!I569</f>
        <v>1010000</v>
      </c>
      <c r="G567" s="386">
        <f>'prévision 2017'!H569</f>
        <v>757500</v>
      </c>
      <c r="H567" s="158">
        <f>'prévision 2017'!G569</f>
        <v>1010000</v>
      </c>
    </row>
    <row r="568" spans="1:8" ht="30" customHeight="1">
      <c r="A568" s="165" t="s">
        <v>258</v>
      </c>
      <c r="B568" s="411" t="s">
        <v>424</v>
      </c>
      <c r="C568" s="412" t="s">
        <v>458</v>
      </c>
      <c r="D568" s="379" t="s">
        <v>463</v>
      </c>
      <c r="F568" s="520">
        <f>SUM(F563:F567)</f>
        <v>101292808</v>
      </c>
      <c r="G568" s="520">
        <f>SUM(G563:G567)</f>
        <v>101752567.68</v>
      </c>
      <c r="H568" s="414">
        <f>SUM(H563:H567)</f>
        <v>101292808</v>
      </c>
    </row>
    <row r="569" spans="1:7" ht="30" customHeight="1">
      <c r="A569" s="165" t="s">
        <v>258</v>
      </c>
      <c r="B569" s="405" t="s">
        <v>425</v>
      </c>
      <c r="C569" s="430" t="s">
        <v>95</v>
      </c>
      <c r="F569" s="386"/>
      <c r="G569" s="596"/>
    </row>
    <row r="570" spans="1:8" ht="30" customHeight="1">
      <c r="A570" s="165" t="s">
        <v>258</v>
      </c>
      <c r="B570" s="405" t="s">
        <v>425</v>
      </c>
      <c r="C570" s="384" t="s">
        <v>458</v>
      </c>
      <c r="D570" s="365">
        <v>6611</v>
      </c>
      <c r="E570" s="368" t="s">
        <v>6</v>
      </c>
      <c r="F570" s="386">
        <f>'prévision 2017'!I572</f>
        <v>50726004</v>
      </c>
      <c r="G570" s="386">
        <f>'prévision 2017'!H572</f>
        <v>43184202.04999999</v>
      </c>
      <c r="H570" s="158">
        <f>'prévision 2017'!G572</f>
        <v>50726004</v>
      </c>
    </row>
    <row r="571" spans="1:8" ht="30" customHeight="1">
      <c r="A571" s="165" t="s">
        <v>258</v>
      </c>
      <c r="B571" s="411" t="s">
        <v>425</v>
      </c>
      <c r="C571" s="384" t="s">
        <v>458</v>
      </c>
      <c r="D571" s="365">
        <v>60100</v>
      </c>
      <c r="E571" s="368" t="s">
        <v>34</v>
      </c>
      <c r="F571" s="386">
        <f>'prévision 2017'!I573</f>
        <v>2000000</v>
      </c>
      <c r="G571" s="386">
        <f>'prévision 2017'!H573</f>
        <v>1500000</v>
      </c>
      <c r="H571" s="158">
        <f>'prévision 2017'!G573</f>
        <v>2000000</v>
      </c>
    </row>
    <row r="572" spans="1:8" ht="30" customHeight="1">
      <c r="A572" s="165" t="s">
        <v>258</v>
      </c>
      <c r="B572" s="411" t="s">
        <v>425</v>
      </c>
      <c r="C572" s="384" t="s">
        <v>458</v>
      </c>
      <c r="D572" s="365">
        <v>6122</v>
      </c>
      <c r="E572" s="389" t="s">
        <v>582</v>
      </c>
      <c r="F572" s="386">
        <f>'prévision 2017'!I574</f>
        <v>1000000</v>
      </c>
      <c r="G572" s="386">
        <f>'prévision 2017'!H574</f>
        <v>750000</v>
      </c>
      <c r="H572" s="158">
        <f>'prévision 2017'!G574</f>
        <v>1000000</v>
      </c>
    </row>
    <row r="573" spans="1:8" ht="30" customHeight="1">
      <c r="A573" s="165" t="s">
        <v>258</v>
      </c>
      <c r="B573" s="411" t="s">
        <v>425</v>
      </c>
      <c r="C573" s="384" t="s">
        <v>458</v>
      </c>
      <c r="D573" s="365">
        <v>6173</v>
      </c>
      <c r="E573" s="390" t="s">
        <v>19</v>
      </c>
      <c r="F573" s="386">
        <f>'prévision 2017'!I575</f>
        <v>0</v>
      </c>
      <c r="G573" s="386">
        <f>'prévision 2017'!H575</f>
        <v>0</v>
      </c>
      <c r="H573" s="158">
        <f>'prévision 2017'!G575</f>
        <v>0</v>
      </c>
    </row>
    <row r="574" spans="1:8" ht="30" customHeight="1">
      <c r="A574" s="165" t="s">
        <v>258</v>
      </c>
      <c r="B574" s="411" t="s">
        <v>425</v>
      </c>
      <c r="C574" s="412" t="s">
        <v>458</v>
      </c>
      <c r="D574" s="379" t="s">
        <v>463</v>
      </c>
      <c r="F574" s="520">
        <f>SUM(F570:F573)</f>
        <v>53726004</v>
      </c>
      <c r="G574" s="520">
        <f>SUM(G570:G573)</f>
        <v>45434202.04999999</v>
      </c>
      <c r="H574" s="414">
        <f>SUM(H570:H573)</f>
        <v>53726004</v>
      </c>
    </row>
    <row r="575" spans="1:7" ht="30" customHeight="1">
      <c r="A575" s="165" t="s">
        <v>258</v>
      </c>
      <c r="B575" s="405" t="s">
        <v>426</v>
      </c>
      <c r="C575" s="430" t="s">
        <v>245</v>
      </c>
      <c r="F575" s="386"/>
      <c r="G575" s="596"/>
    </row>
    <row r="576" spans="1:8" ht="30" customHeight="1">
      <c r="A576" s="165" t="s">
        <v>258</v>
      </c>
      <c r="B576" s="405" t="s">
        <v>426</v>
      </c>
      <c r="C576" s="384" t="s">
        <v>458</v>
      </c>
      <c r="D576" s="365">
        <v>6611</v>
      </c>
      <c r="E576" s="368" t="s">
        <v>6</v>
      </c>
      <c r="F576" s="386">
        <f>'prévision 2017'!I578</f>
        <v>17661584</v>
      </c>
      <c r="G576" s="386">
        <f>'prévision 2017'!H578</f>
        <v>0</v>
      </c>
      <c r="H576" s="158">
        <f>'prévision 2017'!G578</f>
        <v>17661584</v>
      </c>
    </row>
    <row r="577" spans="1:8" ht="30" customHeight="1">
      <c r="A577" s="165" t="s">
        <v>258</v>
      </c>
      <c r="B577" s="411" t="s">
        <v>426</v>
      </c>
      <c r="C577" s="384" t="s">
        <v>458</v>
      </c>
      <c r="D577" s="365">
        <v>60100</v>
      </c>
      <c r="E577" s="368" t="s">
        <v>7</v>
      </c>
      <c r="F577" s="386">
        <f>'prévision 2017'!I579</f>
        <v>4000000</v>
      </c>
      <c r="G577" s="386">
        <f>'prévision 2017'!H579</f>
        <v>3000000</v>
      </c>
      <c r="H577" s="158">
        <f>'prévision 2017'!G579</f>
        <v>4000000</v>
      </c>
    </row>
    <row r="578" spans="1:8" ht="30" customHeight="1">
      <c r="A578" s="165" t="s">
        <v>258</v>
      </c>
      <c r="B578" s="411" t="s">
        <v>426</v>
      </c>
      <c r="C578" s="384" t="s">
        <v>458</v>
      </c>
      <c r="D578" s="365">
        <v>6122</v>
      </c>
      <c r="E578" s="389" t="s">
        <v>582</v>
      </c>
      <c r="F578" s="386">
        <f>'prévision 2017'!I580</f>
        <v>2000000</v>
      </c>
      <c r="G578" s="386">
        <f>'prévision 2017'!H580</f>
        <v>1500000</v>
      </c>
      <c r="H578" s="158">
        <f>'prévision 2017'!G580</f>
        <v>2000000</v>
      </c>
    </row>
    <row r="579" spans="1:8" ht="30" customHeight="1">
      <c r="A579" s="165" t="s">
        <v>258</v>
      </c>
      <c r="B579" s="411" t="s">
        <v>426</v>
      </c>
      <c r="C579" s="384" t="s">
        <v>458</v>
      </c>
      <c r="D579" s="365">
        <v>6173</v>
      </c>
      <c r="E579" s="390" t="s">
        <v>96</v>
      </c>
      <c r="F579" s="386">
        <f>'prévision 2017'!I581</f>
        <v>0</v>
      </c>
      <c r="G579" s="386">
        <f>'prévision 2017'!H581</f>
        <v>0</v>
      </c>
      <c r="H579" s="158">
        <f>'prévision 2017'!G581</f>
        <v>0</v>
      </c>
    </row>
    <row r="580" spans="1:8" ht="30" customHeight="1">
      <c r="A580" s="165" t="s">
        <v>258</v>
      </c>
      <c r="B580" s="411" t="s">
        <v>426</v>
      </c>
      <c r="C580" s="412" t="s">
        <v>458</v>
      </c>
      <c r="D580" s="379" t="s">
        <v>463</v>
      </c>
      <c r="F580" s="520">
        <f>SUM(F576:F578)</f>
        <v>23661584</v>
      </c>
      <c r="G580" s="520">
        <f>SUM(G576:G578)</f>
        <v>4500000</v>
      </c>
      <c r="H580" s="166">
        <f>SUM(H576:H579)</f>
        <v>23661584</v>
      </c>
    </row>
    <row r="581" spans="1:7" ht="30" customHeight="1">
      <c r="A581" s="165" t="s">
        <v>258</v>
      </c>
      <c r="B581" s="405" t="s">
        <v>427</v>
      </c>
      <c r="C581" s="430" t="s">
        <v>315</v>
      </c>
      <c r="F581" s="386"/>
      <c r="G581" s="596"/>
    </row>
    <row r="582" spans="1:8" ht="30" customHeight="1">
      <c r="A582" s="165" t="s">
        <v>258</v>
      </c>
      <c r="B582" s="405" t="s">
        <v>427</v>
      </c>
      <c r="C582" s="384" t="s">
        <v>467</v>
      </c>
      <c r="D582" s="365">
        <v>6611</v>
      </c>
      <c r="E582" s="368" t="s">
        <v>6</v>
      </c>
      <c r="F582" s="386">
        <f>'prévision 2017'!I584</f>
        <v>51969192</v>
      </c>
      <c r="G582" s="386">
        <f>'prévision 2017'!H584</f>
        <v>45020800.84</v>
      </c>
      <c r="H582" s="158">
        <f>'prévision 2017'!G584</f>
        <v>51969192</v>
      </c>
    </row>
    <row r="583" spans="1:8" ht="30" customHeight="1">
      <c r="A583" s="165" t="s">
        <v>258</v>
      </c>
      <c r="B583" s="411" t="s">
        <v>427</v>
      </c>
      <c r="C583" s="384" t="s">
        <v>467</v>
      </c>
      <c r="D583" s="365">
        <v>60100</v>
      </c>
      <c r="E583" s="368" t="s">
        <v>7</v>
      </c>
      <c r="F583" s="386">
        <f>'prévision 2017'!I585</f>
        <v>1000000</v>
      </c>
      <c r="G583" s="386">
        <f>'prévision 2017'!H585</f>
        <v>500000</v>
      </c>
      <c r="H583" s="158">
        <f>'prévision 2017'!G585</f>
        <v>1000000</v>
      </c>
    </row>
    <row r="584" spans="1:8" ht="30" customHeight="1">
      <c r="A584" s="165" t="s">
        <v>258</v>
      </c>
      <c r="B584" s="411" t="s">
        <v>427</v>
      </c>
      <c r="C584" s="384" t="s">
        <v>467</v>
      </c>
      <c r="D584" s="365">
        <v>6112</v>
      </c>
      <c r="E584" s="416" t="s">
        <v>236</v>
      </c>
      <c r="F584" s="386">
        <f>'prévision 2017'!I586</f>
        <v>2000000</v>
      </c>
      <c r="G584" s="386">
        <f>'prévision 2017'!H586</f>
        <v>0</v>
      </c>
      <c r="H584" s="158">
        <f>'prévision 2017'!G586</f>
        <v>2000000</v>
      </c>
    </row>
    <row r="585" spans="1:8" ht="30" customHeight="1">
      <c r="A585" s="165" t="s">
        <v>258</v>
      </c>
      <c r="B585" s="411" t="s">
        <v>427</v>
      </c>
      <c r="C585" s="384" t="s">
        <v>467</v>
      </c>
      <c r="D585" s="365">
        <v>6122</v>
      </c>
      <c r="E585" s="389" t="s">
        <v>582</v>
      </c>
      <c r="F585" s="386">
        <f>'prévision 2017'!I587</f>
        <v>1000000</v>
      </c>
      <c r="G585" s="386">
        <f>'prévision 2017'!H587</f>
        <v>500000</v>
      </c>
      <c r="H585" s="522">
        <f>'prévision 2017'!G587</f>
        <v>1000000</v>
      </c>
    </row>
    <row r="586" spans="1:8" ht="30" customHeight="1">
      <c r="A586" s="165" t="s">
        <v>258</v>
      </c>
      <c r="B586" s="411" t="s">
        <v>427</v>
      </c>
      <c r="C586" s="384" t="s">
        <v>467</v>
      </c>
      <c r="D586" s="365">
        <v>6173</v>
      </c>
      <c r="E586" s="390" t="s">
        <v>96</v>
      </c>
      <c r="F586" s="386">
        <f>'prévision 2017'!I588</f>
        <v>87500000</v>
      </c>
      <c r="G586" s="386">
        <f>'prévision 2017'!H588</f>
        <v>87500000</v>
      </c>
      <c r="H586" s="522">
        <f>'prévision 2017'!G588</f>
        <v>87500000</v>
      </c>
    </row>
    <row r="587" spans="1:8" ht="30" customHeight="1">
      <c r="A587" s="165" t="s">
        <v>258</v>
      </c>
      <c r="B587" s="411" t="s">
        <v>427</v>
      </c>
      <c r="C587" s="412" t="s">
        <v>467</v>
      </c>
      <c r="D587" s="379" t="s">
        <v>463</v>
      </c>
      <c r="F587" s="520">
        <f>SUM(F582:F586)</f>
        <v>143469192</v>
      </c>
      <c r="G587" s="520">
        <f>SUM(G582:G586)</f>
        <v>133520800.84</v>
      </c>
      <c r="H587" s="393">
        <f>SUM(H582:H586)</f>
        <v>143469192</v>
      </c>
    </row>
    <row r="588" spans="1:7" ht="30" customHeight="1">
      <c r="A588" s="165" t="s">
        <v>258</v>
      </c>
      <c r="B588" s="405" t="s">
        <v>432</v>
      </c>
      <c r="C588" s="421" t="s">
        <v>99</v>
      </c>
      <c r="F588" s="386"/>
      <c r="G588" s="596"/>
    </row>
    <row r="589" spans="1:8" ht="30" customHeight="1">
      <c r="A589" s="165" t="s">
        <v>258</v>
      </c>
      <c r="B589" s="405" t="s">
        <v>432</v>
      </c>
      <c r="C589" s="384" t="s">
        <v>458</v>
      </c>
      <c r="D589" s="365">
        <v>6611</v>
      </c>
      <c r="E589" s="368" t="s">
        <v>6</v>
      </c>
      <c r="F589" s="386">
        <f>'prévision 2017'!I591</f>
        <v>20062404</v>
      </c>
      <c r="G589" s="386">
        <f>'prévision 2017'!H591</f>
        <v>0</v>
      </c>
      <c r="H589" s="522">
        <f>'prévision 2017'!G591</f>
        <v>20062404</v>
      </c>
    </row>
    <row r="590" spans="1:8" ht="30" customHeight="1">
      <c r="A590" s="165" t="s">
        <v>258</v>
      </c>
      <c r="B590" s="405" t="s">
        <v>432</v>
      </c>
      <c r="C590" s="384" t="s">
        <v>458</v>
      </c>
      <c r="D590" s="365">
        <v>60100</v>
      </c>
      <c r="E590" s="368" t="s">
        <v>34</v>
      </c>
      <c r="F590" s="386">
        <f>'prévision 2017'!I592</f>
        <v>600000</v>
      </c>
      <c r="G590" s="386">
        <f>'prévision 2017'!H592</f>
        <v>0</v>
      </c>
      <c r="H590" s="158">
        <f>'prévision 2017'!G592</f>
        <v>600000</v>
      </c>
    </row>
    <row r="591" spans="1:8" ht="30" customHeight="1">
      <c r="A591" s="165" t="s">
        <v>258</v>
      </c>
      <c r="B591" s="411" t="s">
        <v>432</v>
      </c>
      <c r="C591" s="384" t="s">
        <v>458</v>
      </c>
      <c r="D591" s="365">
        <v>6122</v>
      </c>
      <c r="E591" s="389" t="s">
        <v>582</v>
      </c>
      <c r="F591" s="386">
        <f>'prévision 2017'!I593</f>
        <v>350000</v>
      </c>
      <c r="G591" s="386">
        <f>'prévision 2017'!H593</f>
        <v>0</v>
      </c>
      <c r="H591" s="158">
        <f>'prévision 2017'!G593</f>
        <v>350000</v>
      </c>
    </row>
    <row r="592" spans="1:8" ht="30" customHeight="1">
      <c r="A592" s="165" t="s">
        <v>258</v>
      </c>
      <c r="B592" s="411" t="s">
        <v>432</v>
      </c>
      <c r="C592" s="384" t="s">
        <v>458</v>
      </c>
      <c r="D592" s="379" t="s">
        <v>463</v>
      </c>
      <c r="F592" s="520">
        <f>SUM(F589:F591)</f>
        <v>21012404</v>
      </c>
      <c r="G592" s="520">
        <f>SUM(G589:G591)</f>
        <v>0</v>
      </c>
      <c r="H592" s="520">
        <f>SUM(H589:H591)</f>
        <v>21012404</v>
      </c>
    </row>
    <row r="593" spans="1:7" ht="30" customHeight="1">
      <c r="A593" s="165" t="s">
        <v>258</v>
      </c>
      <c r="B593" s="405" t="s">
        <v>433</v>
      </c>
      <c r="C593" s="441" t="s">
        <v>100</v>
      </c>
      <c r="D593" s="434"/>
      <c r="F593" s="386"/>
      <c r="G593" s="596"/>
    </row>
    <row r="594" spans="1:8" ht="30" customHeight="1">
      <c r="A594" s="165" t="s">
        <v>258</v>
      </c>
      <c r="B594" s="405" t="s">
        <v>433</v>
      </c>
      <c r="C594" s="365" t="s">
        <v>458</v>
      </c>
      <c r="D594" s="365">
        <v>6611</v>
      </c>
      <c r="E594" s="368" t="s">
        <v>6</v>
      </c>
      <c r="F594" s="386">
        <f>'prévision 2017'!I596</f>
        <v>127931220</v>
      </c>
      <c r="G594" s="386">
        <f>'prévision 2017'!H596</f>
        <v>130032532.71000001</v>
      </c>
      <c r="H594" s="522">
        <f>'prévision 2017'!G596</f>
        <v>127931220</v>
      </c>
    </row>
    <row r="595" spans="1:8" ht="30" customHeight="1">
      <c r="A595" s="165" t="s">
        <v>258</v>
      </c>
      <c r="B595" s="405" t="s">
        <v>433</v>
      </c>
      <c r="C595" s="365" t="s">
        <v>458</v>
      </c>
      <c r="D595" s="365">
        <v>60100</v>
      </c>
      <c r="E595" s="368" t="s">
        <v>34</v>
      </c>
      <c r="F595" s="386">
        <f>'prévision 2017'!I597</f>
        <v>4000000</v>
      </c>
      <c r="G595" s="386">
        <f>'prévision 2017'!H597</f>
        <v>3592500</v>
      </c>
      <c r="H595" s="158">
        <f>'prévision 2017'!G597</f>
        <v>4000000</v>
      </c>
    </row>
    <row r="596" spans="1:8" ht="30" customHeight="1">
      <c r="A596" s="165" t="s">
        <v>258</v>
      </c>
      <c r="B596" s="411" t="s">
        <v>433</v>
      </c>
      <c r="C596" s="365" t="s">
        <v>458</v>
      </c>
      <c r="D596" s="365">
        <v>6122</v>
      </c>
      <c r="E596" s="389" t="s">
        <v>582</v>
      </c>
      <c r="F596" s="386">
        <f>'prévision 2017'!I598</f>
        <v>1000000</v>
      </c>
      <c r="G596" s="386">
        <f>'prévision 2017'!H598</f>
        <v>750000</v>
      </c>
      <c r="H596" s="158">
        <f>'prévision 2017'!G598</f>
        <v>1000000</v>
      </c>
    </row>
    <row r="597" spans="1:8" ht="30" customHeight="1">
      <c r="A597" s="165" t="s">
        <v>258</v>
      </c>
      <c r="B597" s="411" t="s">
        <v>433</v>
      </c>
      <c r="C597" s="408" t="s">
        <v>458</v>
      </c>
      <c r="D597" s="379" t="s">
        <v>463</v>
      </c>
      <c r="F597" s="520">
        <f>SUM(F594:F596)</f>
        <v>132931220</v>
      </c>
      <c r="G597" s="520">
        <f>SUM(G594:G596)</f>
        <v>134375032.71</v>
      </c>
      <c r="H597" s="414">
        <f>SUM(H594:H596)</f>
        <v>132931220</v>
      </c>
    </row>
    <row r="598" spans="1:7" ht="30" customHeight="1">
      <c r="A598" s="165" t="s">
        <v>258</v>
      </c>
      <c r="B598" s="405" t="s">
        <v>434</v>
      </c>
      <c r="C598" s="441" t="s">
        <v>101</v>
      </c>
      <c r="F598" s="386"/>
      <c r="G598" s="596"/>
    </row>
    <row r="599" spans="1:8" ht="30" customHeight="1">
      <c r="A599" s="165" t="s">
        <v>258</v>
      </c>
      <c r="B599" s="405" t="s">
        <v>434</v>
      </c>
      <c r="C599" s="384" t="s">
        <v>458</v>
      </c>
      <c r="D599" s="365">
        <v>6611</v>
      </c>
      <c r="E599" s="368" t="s">
        <v>6</v>
      </c>
      <c r="F599" s="386">
        <f>'prévision 2017'!I601</f>
        <v>417969996</v>
      </c>
      <c r="G599" s="386">
        <f>'prévision 2017'!H601</f>
        <v>373614146.96999997</v>
      </c>
      <c r="H599" s="158">
        <f>'prévision 2017'!G601</f>
        <v>417969996</v>
      </c>
    </row>
    <row r="600" spans="1:8" ht="30" customHeight="1">
      <c r="A600" s="165" t="s">
        <v>258</v>
      </c>
      <c r="B600" s="411" t="s">
        <v>434</v>
      </c>
      <c r="C600" s="384" t="s">
        <v>458</v>
      </c>
      <c r="D600" s="365">
        <v>60100</v>
      </c>
      <c r="E600" s="368" t="s">
        <v>34</v>
      </c>
      <c r="F600" s="386">
        <f>'prévision 2017'!I602</f>
        <v>1410000</v>
      </c>
      <c r="G600" s="386">
        <f>'prévision 2017'!H602</f>
        <v>1057500</v>
      </c>
      <c r="H600" s="158">
        <f>'prévision 2017'!G602</f>
        <v>1410000</v>
      </c>
    </row>
    <row r="601" spans="1:8" ht="30" customHeight="1">
      <c r="A601" s="165" t="s">
        <v>258</v>
      </c>
      <c r="B601" s="411" t="s">
        <v>434</v>
      </c>
      <c r="C601" s="384" t="s">
        <v>458</v>
      </c>
      <c r="D601" s="365">
        <v>6122</v>
      </c>
      <c r="E601" s="389" t="s">
        <v>582</v>
      </c>
      <c r="F601" s="386">
        <f>'prévision 2017'!I603</f>
        <v>752000</v>
      </c>
      <c r="G601" s="386">
        <f>'prévision 2017'!H603</f>
        <v>563750</v>
      </c>
      <c r="H601" s="158">
        <f>'prévision 2017'!G603</f>
        <v>752000</v>
      </c>
    </row>
    <row r="602" spans="1:8" ht="30" customHeight="1">
      <c r="A602" s="165" t="s">
        <v>258</v>
      </c>
      <c r="B602" s="411" t="s">
        <v>434</v>
      </c>
      <c r="C602" s="384" t="s">
        <v>458</v>
      </c>
      <c r="D602" s="379" t="s">
        <v>463</v>
      </c>
      <c r="F602" s="520">
        <f>SUM(F599:F601)</f>
        <v>420131996</v>
      </c>
      <c r="G602" s="520">
        <f>SUM(G599:G601)</f>
        <v>375235396.96999997</v>
      </c>
      <c r="H602" s="414">
        <f>SUM(H599:H601)</f>
        <v>420131996</v>
      </c>
    </row>
    <row r="603" spans="1:7" ht="30" customHeight="1">
      <c r="A603" s="165" t="s">
        <v>258</v>
      </c>
      <c r="B603" s="405" t="s">
        <v>435</v>
      </c>
      <c r="C603" s="441" t="s">
        <v>102</v>
      </c>
      <c r="D603" s="434"/>
      <c r="F603" s="386"/>
      <c r="G603" s="596"/>
    </row>
    <row r="604" spans="1:8" ht="30" customHeight="1">
      <c r="A604" s="165" t="s">
        <v>258</v>
      </c>
      <c r="B604" s="405" t="s">
        <v>435</v>
      </c>
      <c r="C604" s="384" t="s">
        <v>458</v>
      </c>
      <c r="D604" s="365">
        <v>60100</v>
      </c>
      <c r="E604" s="368" t="s">
        <v>34</v>
      </c>
      <c r="F604" s="386">
        <f>'prévision 2017'!I606</f>
        <v>564000</v>
      </c>
      <c r="G604" s="386">
        <f>'prévision 2017'!H606</f>
        <v>0</v>
      </c>
      <c r="H604" s="158">
        <f>'prévision 2017'!G606</f>
        <v>564000</v>
      </c>
    </row>
    <row r="605" spans="1:8" ht="30" customHeight="1">
      <c r="A605" s="165" t="s">
        <v>258</v>
      </c>
      <c r="B605" s="411" t="s">
        <v>435</v>
      </c>
      <c r="C605" s="384" t="s">
        <v>458</v>
      </c>
      <c r="D605" s="365">
        <v>6122</v>
      </c>
      <c r="E605" s="389" t="s">
        <v>582</v>
      </c>
      <c r="F605" s="386">
        <f>'prévision 2017'!I607</f>
        <v>376000</v>
      </c>
      <c r="G605" s="386">
        <f>'prévision 2017'!H607</f>
        <v>0</v>
      </c>
      <c r="H605" s="158">
        <f>'prévision 2017'!G607</f>
        <v>376000</v>
      </c>
    </row>
    <row r="606" spans="1:8" ht="30" customHeight="1">
      <c r="A606" s="165" t="s">
        <v>258</v>
      </c>
      <c r="B606" s="411" t="s">
        <v>435</v>
      </c>
      <c r="C606" s="384" t="s">
        <v>458</v>
      </c>
      <c r="D606" s="379" t="s">
        <v>463</v>
      </c>
      <c r="F606" s="520">
        <f>SUM(F604:F605)</f>
        <v>940000</v>
      </c>
      <c r="G606" s="520">
        <f>SUM(G604:G605)</f>
        <v>0</v>
      </c>
      <c r="H606" s="414">
        <f>SUM(H604:H605)</f>
        <v>940000</v>
      </c>
    </row>
    <row r="607" spans="1:7" ht="30" customHeight="1">
      <c r="A607" s="165" t="s">
        <v>258</v>
      </c>
      <c r="B607" s="405" t="s">
        <v>436</v>
      </c>
      <c r="C607" s="380" t="s">
        <v>229</v>
      </c>
      <c r="D607" s="434"/>
      <c r="F607" s="386"/>
      <c r="G607" s="596"/>
    </row>
    <row r="608" spans="1:8" ht="30" customHeight="1">
      <c r="A608" s="165" t="s">
        <v>258</v>
      </c>
      <c r="B608" s="405" t="s">
        <v>436</v>
      </c>
      <c r="C608" s="384" t="s">
        <v>458</v>
      </c>
      <c r="D608" s="365">
        <v>6611</v>
      </c>
      <c r="E608" s="368" t="s">
        <v>6</v>
      </c>
      <c r="F608" s="386">
        <f>'prévision 2017'!I610</f>
        <v>26887995</v>
      </c>
      <c r="G608" s="386">
        <f>'prévision 2017'!H610</f>
        <v>0</v>
      </c>
      <c r="H608" s="158">
        <f>'prévision 2017'!G610</f>
        <v>26887995</v>
      </c>
    </row>
    <row r="609" spans="1:8" ht="30" customHeight="1">
      <c r="A609" s="165" t="s">
        <v>258</v>
      </c>
      <c r="B609" s="411" t="s">
        <v>436</v>
      </c>
      <c r="C609" s="384" t="s">
        <v>458</v>
      </c>
      <c r="D609" s="365">
        <v>60100</v>
      </c>
      <c r="E609" s="368" t="s">
        <v>34</v>
      </c>
      <c r="F609" s="386">
        <f>'prévision 2017'!I611</f>
        <v>2000000</v>
      </c>
      <c r="G609" s="386">
        <f>'prévision 2017'!H611</f>
        <v>1837300</v>
      </c>
      <c r="H609" s="158">
        <f>'prévision 2017'!G611</f>
        <v>2000000</v>
      </c>
    </row>
    <row r="610" spans="1:8" ht="30" customHeight="1">
      <c r="A610" s="165" t="s">
        <v>258</v>
      </c>
      <c r="B610" s="411" t="s">
        <v>436</v>
      </c>
      <c r="C610" s="384" t="s">
        <v>458</v>
      </c>
      <c r="D610" s="365">
        <v>6122</v>
      </c>
      <c r="E610" s="389" t="s">
        <v>582</v>
      </c>
      <c r="F610" s="386">
        <f>'prévision 2017'!I612</f>
        <v>1500000</v>
      </c>
      <c r="G610" s="386">
        <f>'prévision 2017'!H612</f>
        <v>375000</v>
      </c>
      <c r="H610" s="158">
        <f>'prévision 2017'!G612</f>
        <v>1500000</v>
      </c>
    </row>
    <row r="611" spans="1:8" ht="30" customHeight="1">
      <c r="A611" s="165" t="s">
        <v>258</v>
      </c>
      <c r="B611" s="411" t="s">
        <v>436</v>
      </c>
      <c r="C611" s="384" t="s">
        <v>458</v>
      </c>
      <c r="D611" s="379" t="s">
        <v>463</v>
      </c>
      <c r="F611" s="520">
        <f>SUM(F608:F610)</f>
        <v>30387995</v>
      </c>
      <c r="G611" s="520">
        <f>SUM(G608:G610)</f>
        <v>2212300</v>
      </c>
      <c r="H611" s="414">
        <f>SUM(H608:H610)</f>
        <v>30387995</v>
      </c>
    </row>
    <row r="612" spans="1:7" ht="30" customHeight="1">
      <c r="A612" s="165" t="s">
        <v>258</v>
      </c>
      <c r="B612" s="405" t="s">
        <v>437</v>
      </c>
      <c r="C612" s="441" t="s">
        <v>103</v>
      </c>
      <c r="D612" s="434"/>
      <c r="F612" s="386"/>
      <c r="G612" s="596"/>
    </row>
    <row r="613" spans="1:8" ht="30" customHeight="1">
      <c r="A613" s="165" t="s">
        <v>258</v>
      </c>
      <c r="B613" s="405" t="s">
        <v>437</v>
      </c>
      <c r="C613" s="384" t="s">
        <v>468</v>
      </c>
      <c r="D613" s="365">
        <v>6611</v>
      </c>
      <c r="E613" s="368" t="s">
        <v>6</v>
      </c>
      <c r="F613" s="386"/>
      <c r="G613" s="596"/>
      <c r="H613" s="158">
        <f>'prévision 2017'!G615</f>
        <v>0</v>
      </c>
    </row>
    <row r="614" spans="1:8" ht="30" customHeight="1">
      <c r="A614" s="165" t="s">
        <v>258</v>
      </c>
      <c r="B614" s="405" t="s">
        <v>437</v>
      </c>
      <c r="C614" s="384" t="s">
        <v>468</v>
      </c>
      <c r="D614" s="365">
        <v>60100</v>
      </c>
      <c r="E614" s="368" t="s">
        <v>34</v>
      </c>
      <c r="F614" s="386">
        <f>'prévision 2017'!I616</f>
        <v>752000</v>
      </c>
      <c r="G614" s="386">
        <f>'prévision 2017'!H616</f>
        <v>0</v>
      </c>
      <c r="H614" s="158">
        <f>'prévision 2017'!G616</f>
        <v>752000</v>
      </c>
    </row>
    <row r="615" spans="1:8" ht="30" customHeight="1">
      <c r="A615" s="165" t="s">
        <v>258</v>
      </c>
      <c r="B615" s="411" t="s">
        <v>437</v>
      </c>
      <c r="C615" s="384" t="s">
        <v>468</v>
      </c>
      <c r="D615" s="365">
        <v>6122</v>
      </c>
      <c r="E615" s="389" t="s">
        <v>582</v>
      </c>
      <c r="F615" s="386">
        <f>'prévision 2017'!I617</f>
        <v>470000</v>
      </c>
      <c r="G615" s="386">
        <f>'prévision 2017'!H617</f>
        <v>260000</v>
      </c>
      <c r="H615" s="158">
        <f>'prévision 2017'!G617</f>
        <v>470000</v>
      </c>
    </row>
    <row r="616" spans="1:8" ht="30" customHeight="1">
      <c r="A616" s="165" t="s">
        <v>258</v>
      </c>
      <c r="B616" s="411" t="s">
        <v>437</v>
      </c>
      <c r="C616" s="384" t="s">
        <v>468</v>
      </c>
      <c r="D616" s="379" t="s">
        <v>463</v>
      </c>
      <c r="F616" s="520">
        <f>SUM(F613:F615)</f>
        <v>1222000</v>
      </c>
      <c r="G616" s="520">
        <f>SUM(G613:G615)</f>
        <v>260000</v>
      </c>
      <c r="H616" s="414">
        <f>SUM(H613:H615)</f>
        <v>1222000</v>
      </c>
    </row>
    <row r="617" spans="1:7" ht="30" customHeight="1">
      <c r="A617" s="165" t="s">
        <v>258</v>
      </c>
      <c r="B617" s="405" t="s">
        <v>438</v>
      </c>
      <c r="C617" s="441" t="s">
        <v>104</v>
      </c>
      <c r="D617" s="434"/>
      <c r="F617" s="386"/>
      <c r="G617" s="596"/>
    </row>
    <row r="618" spans="1:8" ht="30" customHeight="1">
      <c r="A618" s="165" t="s">
        <v>258</v>
      </c>
      <c r="B618" s="405" t="s">
        <v>438</v>
      </c>
      <c r="C618" s="442" t="s">
        <v>467</v>
      </c>
      <c r="D618" s="365">
        <v>6611</v>
      </c>
      <c r="E618" s="416" t="s">
        <v>6</v>
      </c>
      <c r="F618" s="386">
        <f>'prévision 2017'!I620</f>
        <v>16014400</v>
      </c>
      <c r="G618" s="386">
        <f>'prévision 2017'!H620</f>
        <v>0</v>
      </c>
      <c r="H618" s="158">
        <f>'prévision 2017'!G620</f>
        <v>16014400</v>
      </c>
    </row>
    <row r="619" spans="1:8" ht="30" customHeight="1">
      <c r="A619" s="165" t="s">
        <v>258</v>
      </c>
      <c r="B619" s="405" t="s">
        <v>438</v>
      </c>
      <c r="C619" s="384" t="s">
        <v>467</v>
      </c>
      <c r="D619" s="365">
        <v>6173</v>
      </c>
      <c r="E619" s="368" t="s">
        <v>19</v>
      </c>
      <c r="F619" s="386">
        <f>'prévision 2017'!I621</f>
        <v>12000000</v>
      </c>
      <c r="G619" s="386">
        <f>'prévision 2017'!H621</f>
        <v>9000000</v>
      </c>
      <c r="H619" s="158">
        <f>'prévision 2017'!G621</f>
        <v>12000000</v>
      </c>
    </row>
    <row r="620" spans="1:8" ht="30" customHeight="1">
      <c r="A620" s="165" t="s">
        <v>258</v>
      </c>
      <c r="B620" s="411" t="s">
        <v>438</v>
      </c>
      <c r="C620" s="384" t="s">
        <v>467</v>
      </c>
      <c r="D620" s="379" t="s">
        <v>463</v>
      </c>
      <c r="F620" s="520">
        <f>F619+F618</f>
        <v>28014400</v>
      </c>
      <c r="G620" s="520">
        <f>G619+G618</f>
        <v>9000000</v>
      </c>
      <c r="H620" s="520">
        <f>H619+H618</f>
        <v>28014400</v>
      </c>
    </row>
    <row r="621" spans="1:7" ht="30" customHeight="1">
      <c r="A621" s="165" t="s">
        <v>258</v>
      </c>
      <c r="B621" s="405" t="s">
        <v>439</v>
      </c>
      <c r="C621" s="430" t="s">
        <v>105</v>
      </c>
      <c r="F621" s="386"/>
      <c r="G621" s="596"/>
    </row>
    <row r="622" spans="1:8" ht="30" customHeight="1">
      <c r="A622" s="165" t="s">
        <v>258</v>
      </c>
      <c r="B622" s="405" t="s">
        <v>439</v>
      </c>
      <c r="C622" s="384" t="s">
        <v>458</v>
      </c>
      <c r="D622" s="365">
        <v>6611</v>
      </c>
      <c r="E622" s="416" t="s">
        <v>6</v>
      </c>
      <c r="F622" s="386">
        <f>'prévision 2017'!I624</f>
        <v>10172800</v>
      </c>
      <c r="G622" s="386">
        <f>'prévision 2017'!H624</f>
        <v>0</v>
      </c>
      <c r="H622" s="158">
        <f>'prévision 2017'!G624</f>
        <v>10172800</v>
      </c>
    </row>
    <row r="623" spans="1:8" ht="30" customHeight="1">
      <c r="A623" s="165" t="s">
        <v>258</v>
      </c>
      <c r="B623" s="405" t="s">
        <v>439</v>
      </c>
      <c r="C623" s="384" t="s">
        <v>458</v>
      </c>
      <c r="D623" s="365">
        <v>60100</v>
      </c>
      <c r="E623" s="368" t="s">
        <v>34</v>
      </c>
      <c r="F623" s="386">
        <f>'prévision 2017'!I625</f>
        <v>564000</v>
      </c>
      <c r="G623" s="386">
        <f>'prévision 2017'!H625</f>
        <v>0</v>
      </c>
      <c r="H623" s="158">
        <f>'prévision 2017'!G625</f>
        <v>564000</v>
      </c>
    </row>
    <row r="624" spans="1:8" ht="30" customHeight="1">
      <c r="A624" s="165" t="s">
        <v>258</v>
      </c>
      <c r="B624" s="411" t="s">
        <v>439</v>
      </c>
      <c r="C624" s="384" t="s">
        <v>458</v>
      </c>
      <c r="D624" s="365">
        <v>6122</v>
      </c>
      <c r="E624" s="389" t="s">
        <v>582</v>
      </c>
      <c r="F624" s="386">
        <f>'prévision 2017'!I626</f>
        <v>376000</v>
      </c>
      <c r="G624" s="386">
        <f>'prévision 2017'!H626</f>
        <v>0</v>
      </c>
      <c r="H624" s="158">
        <f>'prévision 2017'!G626</f>
        <v>376000</v>
      </c>
    </row>
    <row r="625" spans="1:8" ht="30" customHeight="1">
      <c r="A625" s="165" t="s">
        <v>258</v>
      </c>
      <c r="B625" s="405" t="s">
        <v>439</v>
      </c>
      <c r="C625" s="384" t="s">
        <v>458</v>
      </c>
      <c r="D625" s="379" t="s">
        <v>463</v>
      </c>
      <c r="F625" s="520">
        <f>SUM(F622:F624)</f>
        <v>11112800</v>
      </c>
      <c r="G625" s="520">
        <f>SUM(G622:G624)</f>
        <v>0</v>
      </c>
      <c r="H625" s="414">
        <f>SUM(H622:H624)</f>
        <v>11112800</v>
      </c>
    </row>
    <row r="626" spans="1:7" ht="30" customHeight="1">
      <c r="A626" s="165" t="s">
        <v>258</v>
      </c>
      <c r="B626" s="405" t="s">
        <v>440</v>
      </c>
      <c r="C626" s="380" t="s">
        <v>106</v>
      </c>
      <c r="D626" s="443"/>
      <c r="F626" s="386"/>
      <c r="G626" s="596"/>
    </row>
    <row r="627" spans="1:8" ht="30" customHeight="1">
      <c r="A627" s="165" t="s">
        <v>258</v>
      </c>
      <c r="B627" s="405" t="s">
        <v>440</v>
      </c>
      <c r="C627" s="384" t="s">
        <v>480</v>
      </c>
      <c r="D627" s="365">
        <v>6173</v>
      </c>
      <c r="E627" s="368" t="s">
        <v>19</v>
      </c>
      <c r="F627" s="386">
        <f>'prévision 2017'!I629</f>
        <v>2000000</v>
      </c>
      <c r="G627" s="386">
        <f>'prévision 2017'!H629</f>
        <v>0</v>
      </c>
      <c r="H627" s="158">
        <f>'prévision 2017'!G629</f>
        <v>2000000</v>
      </c>
    </row>
    <row r="628" spans="1:8" ht="30" customHeight="1">
      <c r="A628" s="165" t="s">
        <v>258</v>
      </c>
      <c r="B628" s="411" t="s">
        <v>440</v>
      </c>
      <c r="C628" s="384" t="s">
        <v>480</v>
      </c>
      <c r="D628" s="379" t="s">
        <v>463</v>
      </c>
      <c r="F628" s="520">
        <f>SUM(F627)</f>
        <v>2000000</v>
      </c>
      <c r="G628" s="520">
        <f>SUM(G627)</f>
        <v>0</v>
      </c>
      <c r="H628" s="414">
        <f>SUM(H627)</f>
        <v>2000000</v>
      </c>
    </row>
    <row r="629" spans="1:7" ht="30" customHeight="1">
      <c r="A629" s="165" t="s">
        <v>258</v>
      </c>
      <c r="B629" s="405" t="s">
        <v>441</v>
      </c>
      <c r="C629" s="441" t="s">
        <v>107</v>
      </c>
      <c r="D629" s="443"/>
      <c r="F629" s="386"/>
      <c r="G629" s="596"/>
    </row>
    <row r="630" spans="1:8" ht="30" customHeight="1">
      <c r="A630" s="165" t="s">
        <v>258</v>
      </c>
      <c r="B630" s="405" t="s">
        <v>441</v>
      </c>
      <c r="C630" s="365" t="s">
        <v>480</v>
      </c>
      <c r="D630" s="368">
        <v>6611</v>
      </c>
      <c r="E630" s="368" t="s">
        <v>6</v>
      </c>
      <c r="F630" s="386">
        <f>'prévision 2017'!I632</f>
        <v>14976800</v>
      </c>
      <c r="G630" s="386">
        <f>'prévision 2017'!H632</f>
        <v>0</v>
      </c>
      <c r="H630" s="522">
        <f>'prévision 2017'!G632</f>
        <v>14976800</v>
      </c>
    </row>
    <row r="631" spans="1:8" ht="30" customHeight="1">
      <c r="A631" s="165" t="s">
        <v>258</v>
      </c>
      <c r="B631" s="405" t="s">
        <v>441</v>
      </c>
      <c r="C631" s="633" t="s">
        <v>480</v>
      </c>
      <c r="D631" s="368">
        <v>60100</v>
      </c>
      <c r="E631" s="368" t="s">
        <v>34</v>
      </c>
      <c r="F631" s="386">
        <f>'prévision 2017'!I633</f>
        <v>700000</v>
      </c>
      <c r="G631" s="386">
        <f>'prévision 2017'!H633</f>
        <v>0</v>
      </c>
      <c r="H631" s="158">
        <f>'prévision 2017'!G633</f>
        <v>700000</v>
      </c>
    </row>
    <row r="632" spans="1:8" ht="30" customHeight="1">
      <c r="A632" s="165" t="s">
        <v>258</v>
      </c>
      <c r="B632" s="411" t="s">
        <v>441</v>
      </c>
      <c r="C632" s="633" t="s">
        <v>480</v>
      </c>
      <c r="D632" s="389">
        <v>6122</v>
      </c>
      <c r="E632" s="389" t="s">
        <v>582</v>
      </c>
      <c r="F632" s="386">
        <f>'prévision 2017'!I634</f>
        <v>600000</v>
      </c>
      <c r="G632" s="386">
        <f>'prévision 2017'!H634</f>
        <v>0</v>
      </c>
      <c r="H632" s="158">
        <f>'prévision 2017'!G634</f>
        <v>600000</v>
      </c>
    </row>
    <row r="633" spans="1:8" ht="30" customHeight="1">
      <c r="A633" s="165" t="s">
        <v>258</v>
      </c>
      <c r="B633" s="411" t="s">
        <v>441</v>
      </c>
      <c r="C633" s="384" t="s">
        <v>480</v>
      </c>
      <c r="D633" s="379" t="s">
        <v>463</v>
      </c>
      <c r="F633" s="520">
        <f>SUM(F630:F632)</f>
        <v>16276800</v>
      </c>
      <c r="G633" s="520">
        <f>SUM(G630:G632)</f>
        <v>0</v>
      </c>
      <c r="H633" s="414">
        <f>SUM(H630:H632)</f>
        <v>16276800</v>
      </c>
    </row>
    <row r="634" spans="1:7" ht="30" customHeight="1">
      <c r="A634" s="165" t="s">
        <v>258</v>
      </c>
      <c r="B634" s="405" t="s">
        <v>442</v>
      </c>
      <c r="C634" s="444" t="s">
        <v>246</v>
      </c>
      <c r="F634" s="386"/>
      <c r="G634" s="596"/>
    </row>
    <row r="635" spans="1:8" ht="30" customHeight="1">
      <c r="A635" s="165" t="s">
        <v>258</v>
      </c>
      <c r="B635" s="405" t="s">
        <v>442</v>
      </c>
      <c r="C635" s="384" t="s">
        <v>458</v>
      </c>
      <c r="D635" s="365">
        <v>6611</v>
      </c>
      <c r="E635" s="368" t="s">
        <v>6</v>
      </c>
      <c r="F635" s="386">
        <f>'prévision 2017'!I637</f>
        <v>172543200</v>
      </c>
      <c r="G635" s="386">
        <f>'prévision 2017'!H637</f>
        <v>140109610.29</v>
      </c>
      <c r="H635" s="158">
        <f>'prévision 2017'!G637</f>
        <v>172543200</v>
      </c>
    </row>
    <row r="636" spans="1:8" ht="30" customHeight="1">
      <c r="A636" s="165" t="s">
        <v>258</v>
      </c>
      <c r="B636" s="411" t="s">
        <v>442</v>
      </c>
      <c r="C636" s="384" t="s">
        <v>458</v>
      </c>
      <c r="D636" s="365">
        <v>60100</v>
      </c>
      <c r="E636" s="368" t="s">
        <v>34</v>
      </c>
      <c r="F636" s="386">
        <f>'prévision 2017'!I638</f>
        <v>0</v>
      </c>
      <c r="G636" s="386">
        <f>'prévision 2017'!H638</f>
        <v>0</v>
      </c>
      <c r="H636" s="158">
        <f>'prévision 2017'!G638</f>
        <v>0</v>
      </c>
    </row>
    <row r="637" spans="1:8" ht="30" customHeight="1">
      <c r="A637" s="165" t="s">
        <v>258</v>
      </c>
      <c r="B637" s="411" t="s">
        <v>442</v>
      </c>
      <c r="C637" s="384" t="s">
        <v>458</v>
      </c>
      <c r="D637" s="365">
        <v>6122</v>
      </c>
      <c r="E637" s="389" t="s">
        <v>582</v>
      </c>
      <c r="F637" s="386">
        <f>'prévision 2017'!I639</f>
        <v>0</v>
      </c>
      <c r="G637" s="386">
        <f>'prévision 2017'!H639</f>
        <v>0</v>
      </c>
      <c r="H637" s="158">
        <f>'prévision 2017'!G639</f>
        <v>0</v>
      </c>
    </row>
    <row r="638" spans="1:8" ht="30" customHeight="1">
      <c r="A638" s="165" t="s">
        <v>258</v>
      </c>
      <c r="B638" s="411" t="s">
        <v>442</v>
      </c>
      <c r="C638" s="384" t="s">
        <v>458</v>
      </c>
      <c r="D638" s="365">
        <v>6173</v>
      </c>
      <c r="E638" s="368" t="s">
        <v>19</v>
      </c>
      <c r="F638" s="386">
        <f>'prévision 2017'!I640</f>
        <v>0</v>
      </c>
      <c r="G638" s="386">
        <f>'prévision 2017'!H640</f>
        <v>0</v>
      </c>
      <c r="H638" s="158">
        <f>'prévision 2017'!G640</f>
        <v>0</v>
      </c>
    </row>
    <row r="639" spans="1:8" ht="30" customHeight="1">
      <c r="A639" s="165" t="s">
        <v>258</v>
      </c>
      <c r="B639" s="411" t="s">
        <v>442</v>
      </c>
      <c r="C639" s="384" t="s">
        <v>458</v>
      </c>
      <c r="D639" s="365">
        <v>6311</v>
      </c>
      <c r="E639" s="368" t="s">
        <v>594</v>
      </c>
      <c r="F639" s="386">
        <f>'prévision 2017'!I641</f>
        <v>12100000</v>
      </c>
      <c r="G639" s="386">
        <f>'prévision 2017'!H641</f>
        <v>12100000</v>
      </c>
      <c r="H639" s="522">
        <f>'prévision 2017'!G641</f>
        <v>12100000</v>
      </c>
    </row>
    <row r="640" spans="1:8" ht="30" customHeight="1">
      <c r="A640" s="165" t="s">
        <v>258</v>
      </c>
      <c r="B640" s="411" t="s">
        <v>442</v>
      </c>
      <c r="C640" s="384" t="s">
        <v>458</v>
      </c>
      <c r="D640" s="379" t="s">
        <v>463</v>
      </c>
      <c r="F640" s="520">
        <f>SUM(F635:F639)</f>
        <v>184643200</v>
      </c>
      <c r="G640" s="520">
        <f>SUM(G635:G639)</f>
        <v>152209610.29</v>
      </c>
      <c r="H640" s="414">
        <f>SUM(H635:H639)</f>
        <v>184643200</v>
      </c>
    </row>
    <row r="641" spans="1:7" ht="30" customHeight="1">
      <c r="A641" s="165" t="s">
        <v>258</v>
      </c>
      <c r="B641" s="405" t="s">
        <v>443</v>
      </c>
      <c r="C641" s="380" t="s">
        <v>230</v>
      </c>
      <c r="D641" s="434"/>
      <c r="F641" s="386"/>
      <c r="G641" s="596"/>
    </row>
    <row r="642" spans="1:8" ht="30" customHeight="1">
      <c r="A642" s="165" t="s">
        <v>258</v>
      </c>
      <c r="B642" s="405" t="s">
        <v>443</v>
      </c>
      <c r="C642" s="384" t="s">
        <v>468</v>
      </c>
      <c r="D642" s="365">
        <v>6611</v>
      </c>
      <c r="E642" s="416" t="s">
        <v>6</v>
      </c>
      <c r="F642" s="386">
        <f>'prévision 2017'!I644</f>
        <v>16128000</v>
      </c>
      <c r="G642" s="386">
        <f>'prévision 2017'!H644</f>
        <v>0</v>
      </c>
      <c r="H642" s="158">
        <f>'prévision 2017'!G644</f>
        <v>16128000</v>
      </c>
    </row>
    <row r="643" spans="1:8" ht="30" customHeight="1">
      <c r="A643" s="165" t="s">
        <v>258</v>
      </c>
      <c r="B643" s="405" t="s">
        <v>443</v>
      </c>
      <c r="C643" s="384" t="s">
        <v>468</v>
      </c>
      <c r="D643" s="365">
        <v>6173</v>
      </c>
      <c r="E643" s="368" t="s">
        <v>19</v>
      </c>
      <c r="F643" s="386">
        <f>'prévision 2017'!I645</f>
        <v>3000000</v>
      </c>
      <c r="G643" s="386">
        <f>'prévision 2017'!H645</f>
        <v>0</v>
      </c>
      <c r="H643" s="158">
        <f>'prévision 2017'!G645</f>
        <v>3000000</v>
      </c>
    </row>
    <row r="644" spans="1:12" ht="30" customHeight="1">
      <c r="A644" s="165" t="s">
        <v>258</v>
      </c>
      <c r="B644" s="411" t="s">
        <v>443</v>
      </c>
      <c r="C644" s="412" t="s">
        <v>468</v>
      </c>
      <c r="D644" s="379" t="s">
        <v>463</v>
      </c>
      <c r="F644" s="520">
        <f>SUM(F642:F643)</f>
        <v>19128000</v>
      </c>
      <c r="G644" s="520">
        <f>SUM(G642:G643)</f>
        <v>0</v>
      </c>
      <c r="H644" s="414">
        <f>SUM(H642:H643)</f>
        <v>19128000</v>
      </c>
      <c r="L644" s="158">
        <f>F645-'prévision 2017'!I647</f>
        <v>0</v>
      </c>
    </row>
    <row r="645" spans="1:10" ht="30" customHeight="1">
      <c r="A645" s="165" t="s">
        <v>258</v>
      </c>
      <c r="B645" s="424" t="s">
        <v>72</v>
      </c>
      <c r="C645" s="156"/>
      <c r="F645" s="520">
        <f>F644+F640+F633+F628+F625+F620+F616+F611+F606+F602+F597+F592+F587+F580+F574+F568+F561+F558+F553+F545</f>
        <v>4934111675</v>
      </c>
      <c r="G645" s="520">
        <f>G644+G640+G633+G628+G625+G620+G616+G611+G606+G602+G597+G592+G587+G580+G574+G568+G561+G558+G553+G545</f>
        <v>4763743873.76</v>
      </c>
      <c r="H645" s="523">
        <f>H644+H640+H633+H628+H625+H620+H616+H611+H606+H602+H597+H592+H587+H580+H574+H568+H561+H558+H553+H545</f>
        <v>1434111675</v>
      </c>
      <c r="J645" s="158"/>
    </row>
    <row r="646" spans="1:7" ht="30" customHeight="1">
      <c r="A646" s="387" t="s">
        <v>92</v>
      </c>
      <c r="B646" s="518" t="s">
        <v>531</v>
      </c>
      <c r="C646" s="156"/>
      <c r="F646" s="386"/>
      <c r="G646" s="596"/>
    </row>
    <row r="647" spans="1:7" ht="30" customHeight="1">
      <c r="A647" s="387" t="s">
        <v>92</v>
      </c>
      <c r="B647" s="405" t="s">
        <v>444</v>
      </c>
      <c r="C647" s="433" t="s">
        <v>109</v>
      </c>
      <c r="D647" s="434"/>
      <c r="F647" s="386"/>
      <c r="G647" s="596"/>
    </row>
    <row r="648" spans="1:8" ht="30" customHeight="1">
      <c r="A648" s="165" t="s">
        <v>92</v>
      </c>
      <c r="B648" s="405" t="s">
        <v>444</v>
      </c>
      <c r="C648" s="384" t="s">
        <v>482</v>
      </c>
      <c r="D648" s="365">
        <v>6611</v>
      </c>
      <c r="E648" s="368" t="s">
        <v>6</v>
      </c>
      <c r="F648" s="386">
        <f>'prévision 2017'!I650</f>
        <v>17825892</v>
      </c>
      <c r="G648" s="386">
        <f>'prévision 2017'!H650</f>
        <v>50938233.139999986</v>
      </c>
      <c r="H648" s="158">
        <f>'prévision 2017'!G650</f>
        <v>17825892</v>
      </c>
    </row>
    <row r="649" spans="1:8" ht="30" customHeight="1">
      <c r="A649" s="165" t="s">
        <v>92</v>
      </c>
      <c r="B649" s="411" t="s">
        <v>444</v>
      </c>
      <c r="C649" s="384" t="s">
        <v>482</v>
      </c>
      <c r="D649" s="365">
        <v>60100</v>
      </c>
      <c r="E649" s="368" t="s">
        <v>7</v>
      </c>
      <c r="F649" s="386">
        <f>'prévision 2017'!I651</f>
        <v>1290996</v>
      </c>
      <c r="G649" s="386">
        <f>'prévision 2017'!H651</f>
        <v>321600</v>
      </c>
      <c r="H649" s="158">
        <f>'prévision 2017'!G651</f>
        <v>1290996</v>
      </c>
    </row>
    <row r="650" spans="1:8" ht="30" customHeight="1">
      <c r="A650" s="165" t="s">
        <v>92</v>
      </c>
      <c r="B650" s="411" t="s">
        <v>444</v>
      </c>
      <c r="C650" s="384" t="s">
        <v>482</v>
      </c>
      <c r="D650" s="365">
        <v>2162</v>
      </c>
      <c r="E650" s="368" t="s">
        <v>553</v>
      </c>
      <c r="F650" s="386">
        <f>'prévision 2017'!I652</f>
        <v>0</v>
      </c>
      <c r="G650" s="386">
        <f>'prévision 2017'!H652</f>
        <v>0</v>
      </c>
      <c r="H650" s="158">
        <f>'prévision 2017'!G652</f>
        <v>0</v>
      </c>
    </row>
    <row r="651" spans="1:8" ht="30" customHeight="1">
      <c r="A651" s="165" t="s">
        <v>92</v>
      </c>
      <c r="B651" s="411" t="s">
        <v>444</v>
      </c>
      <c r="C651" s="384" t="s">
        <v>482</v>
      </c>
      <c r="D651" s="365">
        <v>6122</v>
      </c>
      <c r="E651" s="389" t="s">
        <v>582</v>
      </c>
      <c r="F651" s="386">
        <f>'prévision 2017'!I653</f>
        <v>922140</v>
      </c>
      <c r="G651" s="386">
        <f>'prévision 2017'!H653</f>
        <v>223500</v>
      </c>
      <c r="H651" s="158">
        <f>'prévision 2017'!G653</f>
        <v>922140</v>
      </c>
    </row>
    <row r="652" spans="1:8" ht="30" customHeight="1">
      <c r="A652" s="165" t="s">
        <v>92</v>
      </c>
      <c r="B652" s="411" t="s">
        <v>444</v>
      </c>
      <c r="C652" s="384" t="s">
        <v>482</v>
      </c>
      <c r="D652" s="365">
        <v>6133</v>
      </c>
      <c r="E652" s="368" t="s">
        <v>110</v>
      </c>
      <c r="F652" s="386">
        <f>'prévision 2017'!I654</f>
        <v>438017</v>
      </c>
      <c r="G652" s="386">
        <f>'prévision 2017'!H654</f>
        <v>0</v>
      </c>
      <c r="H652" s="158">
        <f>'prévision 2017'!G654</f>
        <v>438017</v>
      </c>
    </row>
    <row r="653" spans="1:8" ht="30" customHeight="1">
      <c r="A653" s="165" t="s">
        <v>92</v>
      </c>
      <c r="B653" s="411" t="s">
        <v>444</v>
      </c>
      <c r="C653" s="384" t="s">
        <v>482</v>
      </c>
      <c r="D653" s="365">
        <v>6175</v>
      </c>
      <c r="E653" s="368" t="s">
        <v>13</v>
      </c>
      <c r="F653" s="386">
        <f>'prévision 2017'!I655</f>
        <v>922140</v>
      </c>
      <c r="G653" s="386">
        <f>'prévision 2017'!H655</f>
        <v>456500</v>
      </c>
      <c r="H653" s="158">
        <f>'prévision 2017'!G655</f>
        <v>922140</v>
      </c>
    </row>
    <row r="654" spans="1:8" ht="30" customHeight="1">
      <c r="A654" s="165" t="s">
        <v>92</v>
      </c>
      <c r="B654" s="411" t="s">
        <v>444</v>
      </c>
      <c r="C654" s="412" t="s">
        <v>482</v>
      </c>
      <c r="D654" s="379" t="s">
        <v>463</v>
      </c>
      <c r="F654" s="520">
        <f>SUM(F648:F653)</f>
        <v>21399185</v>
      </c>
      <c r="G654" s="520">
        <f>SUM(G648:G653)</f>
        <v>51939833.139999986</v>
      </c>
      <c r="H654" s="414">
        <f>SUM(H648:H653)</f>
        <v>21399185</v>
      </c>
    </row>
    <row r="655" spans="1:7" ht="30" customHeight="1">
      <c r="A655" s="165" t="s">
        <v>92</v>
      </c>
      <c r="B655" s="405" t="s">
        <v>445</v>
      </c>
      <c r="C655" s="435" t="s">
        <v>66</v>
      </c>
      <c r="F655" s="386"/>
      <c r="G655" s="596"/>
    </row>
    <row r="656" spans="1:8" ht="30" customHeight="1">
      <c r="A656" s="165" t="s">
        <v>92</v>
      </c>
      <c r="B656" s="405" t="s">
        <v>445</v>
      </c>
      <c r="C656" s="384" t="s">
        <v>482</v>
      </c>
      <c r="D656" s="365">
        <v>6611</v>
      </c>
      <c r="E656" s="368" t="s">
        <v>6</v>
      </c>
      <c r="F656" s="386">
        <f>'prévision 2017'!I658</f>
        <v>16904800</v>
      </c>
      <c r="G656" s="386">
        <f>'prévision 2017'!H658</f>
        <v>9903000</v>
      </c>
      <c r="H656" s="158">
        <f>'prévision 2017'!G658</f>
        <v>16904800</v>
      </c>
    </row>
    <row r="657" spans="1:8" ht="30" customHeight="1">
      <c r="A657" s="165" t="s">
        <v>92</v>
      </c>
      <c r="B657" s="411" t="s">
        <v>445</v>
      </c>
      <c r="C657" s="384" t="s">
        <v>482</v>
      </c>
      <c r="D657" s="365">
        <v>60100</v>
      </c>
      <c r="E657" s="368" t="s">
        <v>7</v>
      </c>
      <c r="F657" s="386">
        <f>'prévision 2017'!I659</f>
        <v>500000</v>
      </c>
      <c r="G657" s="386">
        <f>'prévision 2017'!H659</f>
        <v>123000</v>
      </c>
      <c r="H657" s="158">
        <f>'prévision 2017'!G659</f>
        <v>500000</v>
      </c>
    </row>
    <row r="658" spans="1:8" ht="30" customHeight="1">
      <c r="A658" s="165" t="s">
        <v>92</v>
      </c>
      <c r="B658" s="411" t="s">
        <v>445</v>
      </c>
      <c r="C658" s="384" t="s">
        <v>482</v>
      </c>
      <c r="D658" s="365">
        <v>60101</v>
      </c>
      <c r="E658" s="368" t="s">
        <v>255</v>
      </c>
      <c r="F658" s="386">
        <f>'prévision 2017'!I660</f>
        <v>0</v>
      </c>
      <c r="G658" s="386">
        <f>'prévision 2017'!H660</f>
        <v>0</v>
      </c>
      <c r="H658" s="158">
        <f>'prévision 2017'!G660</f>
        <v>0</v>
      </c>
    </row>
    <row r="659" spans="1:8" ht="30" customHeight="1">
      <c r="A659" s="165" t="s">
        <v>92</v>
      </c>
      <c r="B659" s="411" t="s">
        <v>445</v>
      </c>
      <c r="C659" s="384" t="s">
        <v>482</v>
      </c>
      <c r="D659" s="365">
        <v>6122</v>
      </c>
      <c r="E659" s="389" t="s">
        <v>582</v>
      </c>
      <c r="F659" s="386">
        <f>'prévision 2017'!I661</f>
        <v>400000</v>
      </c>
      <c r="G659" s="386">
        <f>'prévision 2017'!H661</f>
        <v>91500</v>
      </c>
      <c r="H659" s="158">
        <f>'prévision 2017'!G661</f>
        <v>400000</v>
      </c>
    </row>
    <row r="660" spans="1:8" ht="30" customHeight="1">
      <c r="A660" s="165" t="s">
        <v>92</v>
      </c>
      <c r="B660" s="411" t="s">
        <v>445</v>
      </c>
      <c r="C660" s="384" t="s">
        <v>482</v>
      </c>
      <c r="D660" s="365">
        <v>6175</v>
      </c>
      <c r="E660" s="368" t="s">
        <v>13</v>
      </c>
      <c r="F660" s="386">
        <f>'prévision 2017'!I662</f>
        <v>0</v>
      </c>
      <c r="G660" s="386">
        <f>'prévision 2017'!H662</f>
        <v>0</v>
      </c>
      <c r="H660" s="158">
        <f>'prévision 2017'!G662</f>
        <v>0</v>
      </c>
    </row>
    <row r="661" spans="1:8" ht="30" customHeight="1">
      <c r="A661" s="165" t="s">
        <v>92</v>
      </c>
      <c r="B661" s="411" t="s">
        <v>445</v>
      </c>
      <c r="C661" s="412" t="s">
        <v>482</v>
      </c>
      <c r="D661" s="379" t="s">
        <v>463</v>
      </c>
      <c r="F661" s="520">
        <f>SUM(F656:F660)</f>
        <v>17804800</v>
      </c>
      <c r="G661" s="520">
        <f>SUM(G656:G660)</f>
        <v>10117500</v>
      </c>
      <c r="H661" s="414">
        <f>SUM(H656:H660)</f>
        <v>17804800</v>
      </c>
    </row>
    <row r="662" spans="1:7" ht="30" customHeight="1">
      <c r="A662" s="165" t="s">
        <v>92</v>
      </c>
      <c r="B662" s="405" t="s">
        <v>446</v>
      </c>
      <c r="C662" s="437" t="s">
        <v>532</v>
      </c>
      <c r="D662" s="445"/>
      <c r="F662" s="386"/>
      <c r="G662" s="596"/>
    </row>
    <row r="663" spans="1:8" ht="30" customHeight="1">
      <c r="A663" s="165" t="s">
        <v>92</v>
      </c>
      <c r="B663" s="405" t="s">
        <v>446</v>
      </c>
      <c r="C663" s="384" t="s">
        <v>483</v>
      </c>
      <c r="D663" s="365">
        <v>6611</v>
      </c>
      <c r="E663" s="368" t="s">
        <v>6</v>
      </c>
      <c r="F663" s="386">
        <f>'prévision 2017'!I665</f>
        <v>10955600</v>
      </c>
      <c r="G663" s="386">
        <f>'prévision 2017'!H665</f>
        <v>9967500.030000001</v>
      </c>
      <c r="H663" s="522">
        <f>'prévision 2017'!G665</f>
        <v>10955600</v>
      </c>
    </row>
    <row r="664" spans="1:8" ht="30" customHeight="1">
      <c r="A664" s="165" t="s">
        <v>92</v>
      </c>
      <c r="B664" s="405" t="s">
        <v>446</v>
      </c>
      <c r="C664" s="384" t="s">
        <v>483</v>
      </c>
      <c r="D664" s="365">
        <v>60100</v>
      </c>
      <c r="E664" s="368" t="s">
        <v>34</v>
      </c>
      <c r="F664" s="386">
        <f>'prévision 2017'!I666</f>
        <v>846000</v>
      </c>
      <c r="G664" s="386">
        <f>'prévision 2017'!H666</f>
        <v>211100</v>
      </c>
      <c r="H664" s="158">
        <f>'prévision 2017'!G666</f>
        <v>846000</v>
      </c>
    </row>
    <row r="665" spans="1:8" ht="30" customHeight="1">
      <c r="A665" s="165" t="s">
        <v>92</v>
      </c>
      <c r="B665" s="411" t="s">
        <v>446</v>
      </c>
      <c r="C665" s="384" t="s">
        <v>483</v>
      </c>
      <c r="D665" s="365">
        <v>2162</v>
      </c>
      <c r="E665" s="368" t="s">
        <v>553</v>
      </c>
      <c r="F665" s="386">
        <f>'prévision 2017'!I668</f>
        <v>564000</v>
      </c>
      <c r="G665" s="386">
        <f>'prévision 2017'!H667</f>
        <v>0</v>
      </c>
      <c r="H665" s="158">
        <f>'prévision 2017'!G668</f>
        <v>564000</v>
      </c>
    </row>
    <row r="666" spans="1:8" ht="30" customHeight="1">
      <c r="A666" s="165" t="s">
        <v>92</v>
      </c>
      <c r="B666" s="411" t="s">
        <v>446</v>
      </c>
      <c r="C666" s="384" t="s">
        <v>483</v>
      </c>
      <c r="D666" s="365">
        <v>6122</v>
      </c>
      <c r="E666" s="389" t="s">
        <v>582</v>
      </c>
      <c r="F666" s="386">
        <f>'prévision 2017'!I670</f>
        <v>500000</v>
      </c>
      <c r="G666" s="386">
        <f>'prévision 2017'!H668</f>
        <v>134500</v>
      </c>
      <c r="H666" s="158">
        <f>'prévision 2017'!G670</f>
        <v>500000</v>
      </c>
    </row>
    <row r="667" spans="1:8" ht="30" customHeight="1">
      <c r="A667" s="165" t="s">
        <v>92</v>
      </c>
      <c r="B667" s="411" t="s">
        <v>446</v>
      </c>
      <c r="C667" s="384" t="s">
        <v>483</v>
      </c>
      <c r="D667" s="365">
        <v>6133</v>
      </c>
      <c r="E667" s="368" t="s">
        <v>110</v>
      </c>
      <c r="F667" s="386"/>
      <c r="G667" s="386">
        <f>'prévision 2017'!H669</f>
        <v>0</v>
      </c>
      <c r="H667" s="158"/>
    </row>
    <row r="668" spans="1:8" ht="30" customHeight="1">
      <c r="A668" s="165" t="s">
        <v>92</v>
      </c>
      <c r="B668" s="411" t="s">
        <v>446</v>
      </c>
      <c r="C668" s="384" t="s">
        <v>483</v>
      </c>
      <c r="D668" s="365">
        <v>6175</v>
      </c>
      <c r="E668" s="368" t="s">
        <v>13</v>
      </c>
      <c r="F668" s="386"/>
      <c r="G668" s="386">
        <f>'prévision 2017'!H670</f>
        <v>249500</v>
      </c>
      <c r="H668" s="158"/>
    </row>
    <row r="669" spans="1:8" ht="30" customHeight="1">
      <c r="A669" s="165" t="s">
        <v>92</v>
      </c>
      <c r="B669" s="411" t="s">
        <v>446</v>
      </c>
      <c r="C669" s="412" t="s">
        <v>483</v>
      </c>
      <c r="D669" s="379" t="s">
        <v>463</v>
      </c>
      <c r="F669" s="520">
        <f>SUM(F663:F666)</f>
        <v>12865600</v>
      </c>
      <c r="G669" s="520">
        <f>SUM(G663:G668)</f>
        <v>10562600.030000001</v>
      </c>
      <c r="H669" s="414">
        <f>SUM(H663:H666)</f>
        <v>12865600</v>
      </c>
    </row>
    <row r="670" spans="1:7" ht="30" customHeight="1">
      <c r="A670" s="165" t="s">
        <v>92</v>
      </c>
      <c r="B670" s="405" t="s">
        <v>447</v>
      </c>
      <c r="C670" s="435" t="s">
        <v>111</v>
      </c>
      <c r="F670" s="386"/>
      <c r="G670" s="596"/>
    </row>
    <row r="671" spans="1:8" ht="30" customHeight="1">
      <c r="A671" s="165" t="s">
        <v>92</v>
      </c>
      <c r="B671" s="405" t="s">
        <v>447</v>
      </c>
      <c r="C671" s="384" t="s">
        <v>484</v>
      </c>
      <c r="D671" s="360">
        <v>6611</v>
      </c>
      <c r="E671" s="364" t="s">
        <v>6</v>
      </c>
      <c r="F671" s="386">
        <f>'prévision 2017'!I673</f>
        <v>10752000</v>
      </c>
      <c r="G671" s="386">
        <f>'prévision 2017'!H673</f>
        <v>12554733.480000002</v>
      </c>
      <c r="H671" s="158">
        <f>'prévision 2017'!G673</f>
        <v>10752000</v>
      </c>
    </row>
    <row r="672" spans="1:8" ht="30" customHeight="1">
      <c r="A672" s="165" t="s">
        <v>92</v>
      </c>
      <c r="B672" s="411" t="s">
        <v>447</v>
      </c>
      <c r="C672" s="384" t="s">
        <v>484</v>
      </c>
      <c r="D672" s="360">
        <v>60100</v>
      </c>
      <c r="E672" s="364" t="s">
        <v>7</v>
      </c>
      <c r="F672" s="386">
        <f>'prévision 2017'!I674</f>
        <v>846000</v>
      </c>
      <c r="G672" s="386">
        <f>'prévision 2017'!H674</f>
        <v>210500</v>
      </c>
      <c r="H672" s="158">
        <f>'prévision 2017'!G674</f>
        <v>846000</v>
      </c>
    </row>
    <row r="673" spans="1:8" ht="30" customHeight="1">
      <c r="A673" s="165" t="s">
        <v>92</v>
      </c>
      <c r="B673" s="411" t="s">
        <v>447</v>
      </c>
      <c r="C673" s="384" t="s">
        <v>484</v>
      </c>
      <c r="D673" s="218">
        <v>6122</v>
      </c>
      <c r="E673" s="359" t="s">
        <v>582</v>
      </c>
      <c r="F673" s="386">
        <f>'prévision 2017'!I675</f>
        <v>752000</v>
      </c>
      <c r="G673" s="386">
        <f>'prévision 2017'!H675</f>
        <v>185000</v>
      </c>
      <c r="H673" s="158">
        <f>'prévision 2017'!G675</f>
        <v>752000</v>
      </c>
    </row>
    <row r="674" spans="1:8" ht="30" customHeight="1">
      <c r="A674" s="165" t="s">
        <v>92</v>
      </c>
      <c r="B674" s="411" t="s">
        <v>447</v>
      </c>
      <c r="C674" s="412" t="s">
        <v>484</v>
      </c>
      <c r="D674" s="379" t="s">
        <v>463</v>
      </c>
      <c r="F674" s="520">
        <f>SUM(F671:F673)</f>
        <v>12350000</v>
      </c>
      <c r="G674" s="520">
        <f>SUM(G671:G673)</f>
        <v>12950233.480000002</v>
      </c>
      <c r="H674" s="414">
        <f>SUM(H671:H673)</f>
        <v>12350000</v>
      </c>
    </row>
    <row r="675" spans="1:7" ht="30" customHeight="1">
      <c r="A675" s="165" t="s">
        <v>92</v>
      </c>
      <c r="B675" s="411" t="s">
        <v>448</v>
      </c>
      <c r="C675" s="410" t="s">
        <v>112</v>
      </c>
      <c r="F675" s="386"/>
      <c r="G675" s="596"/>
    </row>
    <row r="676" spans="1:8" ht="30" customHeight="1">
      <c r="A676" s="165" t="s">
        <v>92</v>
      </c>
      <c r="B676" s="405" t="s">
        <v>448</v>
      </c>
      <c r="C676" s="384" t="s">
        <v>482</v>
      </c>
      <c r="D676" s="360">
        <v>6611</v>
      </c>
      <c r="E676" s="364" t="s">
        <v>6</v>
      </c>
      <c r="F676" s="386">
        <f>'prévision 2017'!I678</f>
        <v>24717600</v>
      </c>
      <c r="G676" s="386">
        <f>'prévision 2017'!H678</f>
        <v>12254334.23</v>
      </c>
      <c r="H676" s="158">
        <f>'prévision 2017'!G678</f>
        <v>24717600</v>
      </c>
    </row>
    <row r="677" spans="1:8" ht="30" customHeight="1">
      <c r="A677" s="165" t="s">
        <v>92</v>
      </c>
      <c r="B677" s="411" t="s">
        <v>448</v>
      </c>
      <c r="C677" s="384" t="s">
        <v>482</v>
      </c>
      <c r="D677" s="360">
        <v>60100</v>
      </c>
      <c r="E677" s="364" t="s">
        <v>7</v>
      </c>
      <c r="F677" s="386">
        <f>'prévision 2017'!I679</f>
        <v>611000</v>
      </c>
      <c r="G677" s="386">
        <f>'prévision 2017'!H679</f>
        <v>152500</v>
      </c>
      <c r="H677" s="158">
        <f>'prévision 2017'!G679</f>
        <v>611000</v>
      </c>
    </row>
    <row r="678" spans="1:8" ht="30" customHeight="1">
      <c r="A678" s="165" t="s">
        <v>92</v>
      </c>
      <c r="B678" s="411" t="s">
        <v>448</v>
      </c>
      <c r="C678" s="384" t="s">
        <v>482</v>
      </c>
      <c r="D678" s="218">
        <v>6122</v>
      </c>
      <c r="E678" s="359" t="s">
        <v>582</v>
      </c>
      <c r="F678" s="386">
        <f>'prévision 2017'!I680</f>
        <v>470000</v>
      </c>
      <c r="G678" s="386">
        <f>'prévision 2017'!H680</f>
        <v>107500</v>
      </c>
      <c r="H678" s="158">
        <f>'prévision 2017'!G680</f>
        <v>470000</v>
      </c>
    </row>
    <row r="679" spans="1:8" ht="30" customHeight="1">
      <c r="A679" s="165" t="s">
        <v>92</v>
      </c>
      <c r="B679" s="411" t="s">
        <v>448</v>
      </c>
      <c r="C679" s="412" t="s">
        <v>482</v>
      </c>
      <c r="D679" s="379" t="s">
        <v>463</v>
      </c>
      <c r="F679" s="520">
        <f>SUM(F676:F678)</f>
        <v>25798600</v>
      </c>
      <c r="G679" s="520">
        <f>SUM(G676:G678)</f>
        <v>12514334.23</v>
      </c>
      <c r="H679" s="414">
        <f>SUM(H676:H678)</f>
        <v>25798600</v>
      </c>
    </row>
    <row r="680" spans="1:7" ht="30" customHeight="1">
      <c r="A680" s="165" t="s">
        <v>92</v>
      </c>
      <c r="B680" s="405" t="s">
        <v>449</v>
      </c>
      <c r="C680" s="433" t="s">
        <v>113</v>
      </c>
      <c r="F680" s="386"/>
      <c r="G680" s="596"/>
    </row>
    <row r="681" spans="1:8" ht="30" customHeight="1">
      <c r="A681" s="165" t="s">
        <v>92</v>
      </c>
      <c r="B681" s="405" t="s">
        <v>449</v>
      </c>
      <c r="C681" s="384" t="s">
        <v>485</v>
      </c>
      <c r="D681" s="360">
        <v>60100</v>
      </c>
      <c r="E681" s="364" t="s">
        <v>7</v>
      </c>
      <c r="F681" s="386">
        <f>'prévision 2017'!I683</f>
        <v>0</v>
      </c>
      <c r="G681" s="386">
        <f>'prévision 2017'!H683</f>
        <v>0</v>
      </c>
      <c r="H681" s="158">
        <f>'prévision 2017'!G683</f>
        <v>0</v>
      </c>
    </row>
    <row r="682" spans="1:8" ht="30" customHeight="1">
      <c r="A682" s="165" t="s">
        <v>92</v>
      </c>
      <c r="B682" s="411" t="s">
        <v>449</v>
      </c>
      <c r="C682" s="384" t="s">
        <v>485</v>
      </c>
      <c r="D682" s="218">
        <v>6122</v>
      </c>
      <c r="E682" s="359" t="s">
        <v>582</v>
      </c>
      <c r="F682" s="386">
        <f>'prévision 2017'!I684</f>
        <v>0</v>
      </c>
      <c r="G682" s="386">
        <f>'prévision 2017'!H684</f>
        <v>0</v>
      </c>
      <c r="H682" s="158">
        <f>'prévision 2017'!G684</f>
        <v>0</v>
      </c>
    </row>
    <row r="683" spans="1:8" ht="30" customHeight="1">
      <c r="A683" s="165" t="s">
        <v>92</v>
      </c>
      <c r="B683" s="411" t="s">
        <v>449</v>
      </c>
      <c r="C683" s="412" t="s">
        <v>485</v>
      </c>
      <c r="D683" s="379" t="s">
        <v>463</v>
      </c>
      <c r="F683" s="386">
        <f>SUM(F681:F682)</f>
        <v>0</v>
      </c>
      <c r="G683" s="386">
        <f>SUM(G681:G682)</f>
        <v>0</v>
      </c>
      <c r="H683" s="379">
        <f>SUM(H681:H682)</f>
        <v>0</v>
      </c>
    </row>
    <row r="684" spans="1:8" ht="30" customHeight="1">
      <c r="A684" s="165" t="s">
        <v>92</v>
      </c>
      <c r="B684" s="448" t="s">
        <v>450</v>
      </c>
      <c r="C684" s="412" t="s">
        <v>642</v>
      </c>
      <c r="D684" s="439" t="s">
        <v>595</v>
      </c>
      <c r="E684" s="416"/>
      <c r="F684" s="386"/>
      <c r="G684" s="596"/>
      <c r="H684" s="379"/>
    </row>
    <row r="685" spans="1:9" ht="30" customHeight="1">
      <c r="A685" s="165" t="s">
        <v>92</v>
      </c>
      <c r="B685" s="448" t="s">
        <v>450</v>
      </c>
      <c r="C685" s="412" t="s">
        <v>642</v>
      </c>
      <c r="D685" s="365">
        <v>6311</v>
      </c>
      <c r="E685" s="366" t="s">
        <v>596</v>
      </c>
      <c r="F685" s="386">
        <f>'prévision 2017'!I687</f>
        <v>50400000</v>
      </c>
      <c r="G685" s="386">
        <f>'prévision 2017'!H687</f>
        <v>0</v>
      </c>
      <c r="H685" s="393">
        <f>'prévision 2017'!G687</f>
        <v>50400000</v>
      </c>
      <c r="I685" s="158"/>
    </row>
    <row r="686" spans="1:9" ht="30" customHeight="1">
      <c r="A686" s="165" t="s">
        <v>92</v>
      </c>
      <c r="B686" s="448" t="s">
        <v>450</v>
      </c>
      <c r="C686" s="412" t="s">
        <v>642</v>
      </c>
      <c r="D686" s="379" t="s">
        <v>463</v>
      </c>
      <c r="F686" s="520">
        <f>F685</f>
        <v>50400000</v>
      </c>
      <c r="G686" s="520">
        <f>G685</f>
        <v>0</v>
      </c>
      <c r="H686" s="393">
        <f>H685</f>
        <v>50400000</v>
      </c>
      <c r="I686" s="393"/>
    </row>
    <row r="687" spans="1:8" ht="30" customHeight="1">
      <c r="A687" s="165" t="s">
        <v>92</v>
      </c>
      <c r="B687" s="424" t="s">
        <v>72</v>
      </c>
      <c r="C687" s="156"/>
      <c r="F687" s="520">
        <f>F686+F683+F679+F674+F669+F661+F654</f>
        <v>140618185</v>
      </c>
      <c r="G687" s="520">
        <f>G686+G683+G679+G674+G669+G661+G654</f>
        <v>98084500.88</v>
      </c>
      <c r="H687" s="414">
        <f>H686+H683+H679+H674+H669+H661+H654</f>
        <v>140618185</v>
      </c>
    </row>
    <row r="688" spans="1:7" ht="30" customHeight="1">
      <c r="A688" s="387" t="s">
        <v>259</v>
      </c>
      <c r="B688" s="369" t="s">
        <v>533</v>
      </c>
      <c r="C688" s="156"/>
      <c r="F688" s="386"/>
      <c r="G688" s="596"/>
    </row>
    <row r="689" spans="1:7" ht="30" customHeight="1">
      <c r="A689" s="387" t="s">
        <v>259</v>
      </c>
      <c r="B689" s="410">
        <v>1001</v>
      </c>
      <c r="C689" s="435" t="s">
        <v>116</v>
      </c>
      <c r="D689" s="449"/>
      <c r="F689" s="386"/>
      <c r="G689" s="596"/>
    </row>
    <row r="690" spans="1:8" ht="30" customHeight="1">
      <c r="A690" s="165" t="s">
        <v>259</v>
      </c>
      <c r="B690" s="410">
        <v>1001</v>
      </c>
      <c r="C690" s="384" t="s">
        <v>487</v>
      </c>
      <c r="D690" s="365">
        <v>6611</v>
      </c>
      <c r="E690" s="368" t="s">
        <v>6</v>
      </c>
      <c r="F690" s="386">
        <f>'prévision 2017'!I692</f>
        <v>23190240</v>
      </c>
      <c r="G690" s="386">
        <f>'prévision 2017'!H692</f>
        <v>88486399.39</v>
      </c>
      <c r="H690" s="158">
        <f>'prévision 2017'!G692</f>
        <v>23190240</v>
      </c>
    </row>
    <row r="691" spans="1:8" ht="30" customHeight="1">
      <c r="A691" s="165" t="s">
        <v>259</v>
      </c>
      <c r="B691" s="450">
        <v>1001</v>
      </c>
      <c r="C691" s="384" t="s">
        <v>487</v>
      </c>
      <c r="D691" s="365">
        <v>60100</v>
      </c>
      <c r="E691" s="368" t="s">
        <v>7</v>
      </c>
      <c r="F691" s="386">
        <f>'prévision 2017'!I693</f>
        <v>882900</v>
      </c>
      <c r="G691" s="386">
        <f>'prévision 2017'!H693</f>
        <v>213650</v>
      </c>
      <c r="H691" s="158">
        <f>'prévision 2017'!G693</f>
        <v>882900</v>
      </c>
    </row>
    <row r="692" spans="1:8" ht="30" customHeight="1">
      <c r="A692" s="165" t="s">
        <v>259</v>
      </c>
      <c r="B692" s="450">
        <v>1001</v>
      </c>
      <c r="C692" s="384" t="s">
        <v>487</v>
      </c>
      <c r="D692" s="365">
        <v>6122</v>
      </c>
      <c r="E692" s="389" t="s">
        <v>582</v>
      </c>
      <c r="F692" s="386">
        <f>'prévision 2017'!I694</f>
        <v>588600</v>
      </c>
      <c r="G692" s="386">
        <f>'prévision 2017'!H694</f>
        <v>0</v>
      </c>
      <c r="H692" s="158">
        <f>'prévision 2017'!G694</f>
        <v>588600</v>
      </c>
    </row>
    <row r="693" spans="1:8" ht="30" customHeight="1">
      <c r="A693" s="165" t="s">
        <v>259</v>
      </c>
      <c r="B693" s="450">
        <v>1001</v>
      </c>
      <c r="C693" s="384" t="s">
        <v>487</v>
      </c>
      <c r="D693" s="365">
        <v>6175</v>
      </c>
      <c r="E693" s="368" t="s">
        <v>13</v>
      </c>
      <c r="F693" s="386">
        <f>'prévision 2017'!I695</f>
        <v>981000</v>
      </c>
      <c r="G693" s="386">
        <f>'prévision 2017'!H695</f>
        <v>735750</v>
      </c>
      <c r="H693" s="158">
        <f>'prévision 2017'!G695</f>
        <v>981000</v>
      </c>
    </row>
    <row r="694" spans="1:8" ht="30" customHeight="1">
      <c r="A694" s="165" t="s">
        <v>259</v>
      </c>
      <c r="B694" s="450">
        <v>1001</v>
      </c>
      <c r="C694" s="412" t="s">
        <v>487</v>
      </c>
      <c r="D694" s="379" t="s">
        <v>463</v>
      </c>
      <c r="F694" s="520">
        <f>SUM(F690:F693)</f>
        <v>25642740</v>
      </c>
      <c r="G694" s="520">
        <f>SUM(G690:G693)</f>
        <v>89435799.39</v>
      </c>
      <c r="H694" s="414">
        <f>SUM(H690:H693)</f>
        <v>25642740</v>
      </c>
    </row>
    <row r="695" spans="1:7" ht="30" customHeight="1">
      <c r="A695" s="165" t="s">
        <v>259</v>
      </c>
      <c r="B695" s="451">
        <v>1002</v>
      </c>
      <c r="C695" s="435" t="s">
        <v>66</v>
      </c>
      <c r="F695" s="386"/>
      <c r="G695" s="596"/>
    </row>
    <row r="696" spans="1:8" ht="30" customHeight="1">
      <c r="A696" s="165" t="s">
        <v>259</v>
      </c>
      <c r="B696" s="451">
        <v>1002</v>
      </c>
      <c r="C696" s="384" t="s">
        <v>487</v>
      </c>
      <c r="D696" s="365">
        <v>6611</v>
      </c>
      <c r="E696" s="368" t="s">
        <v>6</v>
      </c>
      <c r="F696" s="386">
        <f>'prévision 2017'!I698</f>
        <v>103044805.7</v>
      </c>
      <c r="G696" s="386">
        <f>'prévision 2017'!H698</f>
        <v>34502633.07</v>
      </c>
      <c r="H696" s="158">
        <f>'prévision 2017'!G698</f>
        <v>103044805.7</v>
      </c>
    </row>
    <row r="697" spans="1:8" ht="30" customHeight="1">
      <c r="A697" s="165" t="s">
        <v>259</v>
      </c>
      <c r="B697" s="452">
        <v>1002</v>
      </c>
      <c r="C697" s="384" t="s">
        <v>487</v>
      </c>
      <c r="D697" s="365">
        <v>60100</v>
      </c>
      <c r="E697" s="368" t="s">
        <v>7</v>
      </c>
      <c r="F697" s="386">
        <f>'prévision 2017'!I699</f>
        <v>500000</v>
      </c>
      <c r="G697" s="386">
        <f>'prévision 2017'!H699</f>
        <v>123850</v>
      </c>
      <c r="H697" s="158">
        <f>'prévision 2017'!G699</f>
        <v>500000</v>
      </c>
    </row>
    <row r="698" spans="1:8" ht="30" customHeight="1">
      <c r="A698" s="165" t="s">
        <v>259</v>
      </c>
      <c r="B698" s="452">
        <v>1002</v>
      </c>
      <c r="C698" s="384" t="s">
        <v>487</v>
      </c>
      <c r="D698" s="365">
        <v>60101</v>
      </c>
      <c r="E698" s="368" t="s">
        <v>255</v>
      </c>
      <c r="F698" s="386">
        <f>'prévision 2017'!I700</f>
        <v>0</v>
      </c>
      <c r="G698" s="386">
        <f>'prévision 2017'!H700</f>
        <v>0</v>
      </c>
      <c r="H698" s="158">
        <f>'prévision 2017'!G700</f>
        <v>0</v>
      </c>
    </row>
    <row r="699" spans="1:8" ht="30" customHeight="1">
      <c r="A699" s="165" t="s">
        <v>259</v>
      </c>
      <c r="B699" s="452">
        <v>1002</v>
      </c>
      <c r="C699" s="384" t="s">
        <v>487</v>
      </c>
      <c r="D699" s="365">
        <v>6122</v>
      </c>
      <c r="E699" s="389" t="s">
        <v>582</v>
      </c>
      <c r="F699" s="386">
        <f>'prévision 2017'!I701</f>
        <v>400000</v>
      </c>
      <c r="G699" s="386">
        <f>'prévision 2017'!H701</f>
        <v>100000</v>
      </c>
      <c r="H699" s="158">
        <f>'prévision 2017'!G701</f>
        <v>400000</v>
      </c>
    </row>
    <row r="700" spans="1:8" ht="30" customHeight="1">
      <c r="A700" s="165" t="s">
        <v>259</v>
      </c>
      <c r="B700" s="452">
        <v>1002</v>
      </c>
      <c r="C700" s="384" t="s">
        <v>487</v>
      </c>
      <c r="D700" s="365">
        <v>6175</v>
      </c>
      <c r="E700" s="368" t="s">
        <v>13</v>
      </c>
      <c r="F700" s="386">
        <f>'prévision 2017'!I702</f>
        <v>0</v>
      </c>
      <c r="G700" s="386">
        <f>'prévision 2017'!H702</f>
        <v>0</v>
      </c>
      <c r="H700" s="158">
        <f>'prévision 2017'!G702</f>
        <v>0</v>
      </c>
    </row>
    <row r="701" spans="1:8" ht="30" customHeight="1">
      <c r="A701" s="165" t="s">
        <v>259</v>
      </c>
      <c r="B701" s="452">
        <v>1002</v>
      </c>
      <c r="C701" s="412" t="s">
        <v>487</v>
      </c>
      <c r="D701" s="379" t="s">
        <v>463</v>
      </c>
      <c r="F701" s="520">
        <f>SUM(F696:F700)</f>
        <v>103944805.7</v>
      </c>
      <c r="G701" s="520">
        <f>SUM(G696:G700)</f>
        <v>34726483.07</v>
      </c>
      <c r="H701" s="414">
        <f>SUM(H696:H700)</f>
        <v>103944805.7</v>
      </c>
    </row>
    <row r="702" spans="1:7" ht="30" customHeight="1">
      <c r="A702" s="453" t="s">
        <v>259</v>
      </c>
      <c r="B702" s="413">
        <v>1003</v>
      </c>
      <c r="C702" s="370" t="s">
        <v>534</v>
      </c>
      <c r="D702" s="454"/>
      <c r="E702" s="454"/>
      <c r="F702" s="386"/>
      <c r="G702" s="596"/>
    </row>
    <row r="703" spans="1:8" ht="30" customHeight="1">
      <c r="A703" s="453" t="s">
        <v>259</v>
      </c>
      <c r="B703" s="413">
        <v>1003</v>
      </c>
      <c r="C703" s="384" t="s">
        <v>487</v>
      </c>
      <c r="D703" s="365">
        <v>6611</v>
      </c>
      <c r="E703" s="368" t="s">
        <v>6</v>
      </c>
      <c r="F703" s="386">
        <f>'prévision 2017'!I705</f>
        <v>7980000</v>
      </c>
      <c r="G703" s="386">
        <f>'prévision 2017'!H705</f>
        <v>10174400</v>
      </c>
      <c r="H703" s="522">
        <f>'prévision 2017'!G705</f>
        <v>7980000</v>
      </c>
    </row>
    <row r="704" spans="1:8" ht="30" customHeight="1">
      <c r="A704" s="453" t="s">
        <v>259</v>
      </c>
      <c r="B704" s="413">
        <v>1003</v>
      </c>
      <c r="C704" s="384" t="s">
        <v>487</v>
      </c>
      <c r="D704" s="365">
        <v>60100</v>
      </c>
      <c r="E704" s="368" t="s">
        <v>34</v>
      </c>
      <c r="F704" s="386">
        <f>'prévision 2017'!I706</f>
        <v>882900</v>
      </c>
      <c r="G704" s="386">
        <f>'prévision 2017'!H706</f>
        <v>662150</v>
      </c>
      <c r="H704" s="158">
        <f>'prévision 2017'!G706</f>
        <v>882900</v>
      </c>
    </row>
    <row r="705" spans="1:8" ht="30" customHeight="1">
      <c r="A705" s="453" t="s">
        <v>259</v>
      </c>
      <c r="B705" s="455">
        <v>1003</v>
      </c>
      <c r="C705" s="384" t="s">
        <v>487</v>
      </c>
      <c r="D705" s="365">
        <v>6122</v>
      </c>
      <c r="E705" s="389" t="s">
        <v>582</v>
      </c>
      <c r="F705" s="386">
        <f>'prévision 2017'!I707</f>
        <v>588600</v>
      </c>
      <c r="G705" s="386">
        <f>'prévision 2017'!H707</f>
        <v>440000</v>
      </c>
      <c r="H705" s="158">
        <f>'prévision 2017'!G707</f>
        <v>588600</v>
      </c>
    </row>
    <row r="706" spans="1:8" ht="30" customHeight="1">
      <c r="A706" s="453" t="s">
        <v>259</v>
      </c>
      <c r="B706" s="455">
        <v>1003</v>
      </c>
      <c r="C706" s="384" t="s">
        <v>487</v>
      </c>
      <c r="D706" s="365">
        <v>6175</v>
      </c>
      <c r="E706" s="368" t="s">
        <v>13</v>
      </c>
      <c r="F706" s="386">
        <f>'prévision 2017'!I708</f>
        <v>490500</v>
      </c>
      <c r="G706" s="386">
        <f>'prévision 2017'!H708</f>
        <v>366000</v>
      </c>
      <c r="H706" s="158">
        <f>'prévision 2017'!G708</f>
        <v>490500</v>
      </c>
    </row>
    <row r="707" spans="1:8" ht="30" customHeight="1">
      <c r="A707" s="453" t="s">
        <v>259</v>
      </c>
      <c r="B707" s="455">
        <v>1003</v>
      </c>
      <c r="C707" s="412" t="s">
        <v>487</v>
      </c>
      <c r="D707" s="379" t="s">
        <v>463</v>
      </c>
      <c r="F707" s="520">
        <f>SUM(F703:F706)</f>
        <v>9942000</v>
      </c>
      <c r="G707" s="520">
        <f>SUM(G703:G706)</f>
        <v>11642550</v>
      </c>
      <c r="H707" s="523">
        <f>SUM(H703:H706)</f>
        <v>9942000</v>
      </c>
    </row>
    <row r="708" spans="1:7" ht="30" customHeight="1">
      <c r="A708" s="453" t="s">
        <v>259</v>
      </c>
      <c r="B708" s="456">
        <v>1004</v>
      </c>
      <c r="C708" s="435" t="s">
        <v>305</v>
      </c>
      <c r="D708" s="454"/>
      <c r="F708" s="386"/>
      <c r="G708" s="596"/>
    </row>
    <row r="709" spans="1:8" ht="30" customHeight="1">
      <c r="A709" s="453" t="s">
        <v>259</v>
      </c>
      <c r="B709" s="456">
        <v>1004</v>
      </c>
      <c r="C709" s="384" t="s">
        <v>487</v>
      </c>
      <c r="D709" s="365">
        <v>6611</v>
      </c>
      <c r="E709" s="371" t="s">
        <v>6</v>
      </c>
      <c r="F709" s="386">
        <f>'prévision 2017'!I711</f>
        <v>29243600</v>
      </c>
      <c r="G709" s="386">
        <f>'prévision 2017'!H711</f>
        <v>28581265.17</v>
      </c>
      <c r="H709" s="158">
        <f>'prévision 2017'!G711</f>
        <v>29243600</v>
      </c>
    </row>
    <row r="710" spans="1:8" ht="30" customHeight="1">
      <c r="A710" s="453" t="s">
        <v>259</v>
      </c>
      <c r="B710" s="457">
        <v>1004</v>
      </c>
      <c r="C710" s="384" t="s">
        <v>487</v>
      </c>
      <c r="D710" s="365">
        <v>60100</v>
      </c>
      <c r="E710" s="368" t="s">
        <v>7</v>
      </c>
      <c r="F710" s="386">
        <f>'prévision 2017'!I712</f>
        <v>588600</v>
      </c>
      <c r="G710" s="386">
        <f>'prévision 2017'!H712</f>
        <v>0</v>
      </c>
      <c r="H710" s="158">
        <f>'prévision 2017'!G712</f>
        <v>588600</v>
      </c>
    </row>
    <row r="711" spans="1:8" ht="30" customHeight="1">
      <c r="A711" s="453" t="s">
        <v>259</v>
      </c>
      <c r="B711" s="457">
        <v>1004</v>
      </c>
      <c r="C711" s="384" t="s">
        <v>487</v>
      </c>
      <c r="D711" s="365">
        <v>6122</v>
      </c>
      <c r="E711" s="389" t="s">
        <v>582</v>
      </c>
      <c r="F711" s="386">
        <f>'prévision 2017'!I713</f>
        <v>0</v>
      </c>
      <c r="G711" s="386">
        <f>'prévision 2017'!H713</f>
        <v>0</v>
      </c>
      <c r="H711" s="158">
        <f>'prévision 2017'!G713</f>
        <v>0</v>
      </c>
    </row>
    <row r="712" spans="1:8" ht="30" customHeight="1">
      <c r="A712" s="453" t="s">
        <v>259</v>
      </c>
      <c r="B712" s="457">
        <v>1004</v>
      </c>
      <c r="C712" s="384" t="s">
        <v>487</v>
      </c>
      <c r="D712" s="365">
        <v>21251</v>
      </c>
      <c r="E712" s="368" t="s">
        <v>579</v>
      </c>
      <c r="F712" s="386">
        <f>'prévision 2017'!I714</f>
        <v>500000000</v>
      </c>
      <c r="G712" s="386">
        <f>'prévision 2017'!H714</f>
        <v>0</v>
      </c>
      <c r="H712" s="522">
        <f>'prévision 2017'!G714</f>
        <v>500000000</v>
      </c>
    </row>
    <row r="713" spans="1:8" ht="30" customHeight="1">
      <c r="A713" s="453" t="s">
        <v>259</v>
      </c>
      <c r="B713" s="457">
        <v>1004</v>
      </c>
      <c r="C713" s="384" t="s">
        <v>487</v>
      </c>
      <c r="D713" s="365">
        <v>2128</v>
      </c>
      <c r="E713" s="368" t="s">
        <v>581</v>
      </c>
      <c r="F713" s="386">
        <f>'prévision 2017'!I715</f>
        <v>0</v>
      </c>
      <c r="G713" s="386">
        <f>'prévision 2017'!H715</f>
        <v>0</v>
      </c>
      <c r="H713" s="522">
        <f>'prévision 2017'!G715</f>
        <v>2000000000</v>
      </c>
    </row>
    <row r="714" spans="1:8" ht="30" customHeight="1">
      <c r="A714" s="453" t="s">
        <v>259</v>
      </c>
      <c r="B714" s="457">
        <v>1004</v>
      </c>
      <c r="C714" s="412" t="s">
        <v>487</v>
      </c>
      <c r="D714" s="379" t="s">
        <v>463</v>
      </c>
      <c r="F714" s="520">
        <f>SUM(F709:F713)</f>
        <v>529832200</v>
      </c>
      <c r="G714" s="520">
        <f>SUM(G709:G713)</f>
        <v>28581265.17</v>
      </c>
      <c r="H714" s="393">
        <f>SUM(H709:H713)</f>
        <v>2529832200</v>
      </c>
    </row>
    <row r="715" spans="1:7" ht="30" customHeight="1">
      <c r="A715" s="453" t="s">
        <v>259</v>
      </c>
      <c r="B715" s="456">
        <v>1006</v>
      </c>
      <c r="C715" s="435" t="s">
        <v>118</v>
      </c>
      <c r="D715" s="454"/>
      <c r="F715" s="386"/>
      <c r="G715" s="596"/>
    </row>
    <row r="716" spans="1:8" ht="30" customHeight="1">
      <c r="A716" s="453" t="s">
        <v>259</v>
      </c>
      <c r="B716" s="456">
        <v>1006</v>
      </c>
      <c r="C716" s="384" t="s">
        <v>489</v>
      </c>
      <c r="D716" s="365">
        <v>6611</v>
      </c>
      <c r="E716" s="368" t="s">
        <v>6</v>
      </c>
      <c r="F716" s="386">
        <f>'prévision 2017'!I718</f>
        <v>22168000</v>
      </c>
      <c r="G716" s="386">
        <f>'prévision 2017'!H718</f>
        <v>17749999.330000002</v>
      </c>
      <c r="H716" s="158">
        <f>'prévision 2017'!G718</f>
        <v>22168000</v>
      </c>
    </row>
    <row r="717" spans="1:8" ht="30" customHeight="1">
      <c r="A717" s="453" t="s">
        <v>259</v>
      </c>
      <c r="B717" s="457">
        <v>1006</v>
      </c>
      <c r="C717" s="384" t="s">
        <v>489</v>
      </c>
      <c r="D717" s="365">
        <v>60100</v>
      </c>
      <c r="E717" s="368" t="s">
        <v>7</v>
      </c>
      <c r="F717" s="386">
        <f>'prévision 2017'!I719</f>
        <v>4414500</v>
      </c>
      <c r="G717" s="386">
        <f>'prévision 2017'!H719</f>
        <v>0</v>
      </c>
      <c r="H717" s="158">
        <f>'prévision 2017'!G719</f>
        <v>4414500</v>
      </c>
    </row>
    <row r="718" spans="1:8" ht="30" customHeight="1">
      <c r="A718" s="453" t="s">
        <v>259</v>
      </c>
      <c r="B718" s="457">
        <v>1006</v>
      </c>
      <c r="C718" s="384" t="s">
        <v>489</v>
      </c>
      <c r="D718" s="365">
        <v>60101</v>
      </c>
      <c r="E718" s="368" t="s">
        <v>264</v>
      </c>
      <c r="F718" s="386">
        <f>'prévision 2017'!I720</f>
        <v>981000</v>
      </c>
      <c r="G718" s="386">
        <f>'prévision 2017'!H720</f>
        <v>0</v>
      </c>
      <c r="H718" s="158">
        <f>'prévision 2017'!G720</f>
        <v>981000</v>
      </c>
    </row>
    <row r="719" spans="1:8" ht="30" customHeight="1">
      <c r="A719" s="453" t="s">
        <v>259</v>
      </c>
      <c r="B719" s="457">
        <v>1006</v>
      </c>
      <c r="C719" s="384" t="s">
        <v>489</v>
      </c>
      <c r="D719" s="365">
        <v>6122</v>
      </c>
      <c r="E719" s="389" t="s">
        <v>582</v>
      </c>
      <c r="F719" s="386">
        <f>'prévision 2017'!I721</f>
        <v>2648700</v>
      </c>
      <c r="G719" s="386">
        <f>'prévision 2017'!H721</f>
        <v>0</v>
      </c>
      <c r="H719" s="158">
        <f>'prévision 2017'!G721</f>
        <v>2648700</v>
      </c>
    </row>
    <row r="720" spans="1:8" ht="30" customHeight="1">
      <c r="A720" s="453" t="s">
        <v>259</v>
      </c>
      <c r="B720" s="457">
        <v>1006</v>
      </c>
      <c r="C720" s="384" t="s">
        <v>489</v>
      </c>
      <c r="D720" s="365">
        <v>6173</v>
      </c>
      <c r="E720" s="368" t="s">
        <v>19</v>
      </c>
      <c r="F720" s="386">
        <f>'prévision 2017'!I722</f>
        <v>20054740</v>
      </c>
      <c r="G720" s="386">
        <f>'prévision 2017'!H722</f>
        <v>0</v>
      </c>
      <c r="H720" s="158">
        <f>'prévision 2017'!G722</f>
        <v>20054740</v>
      </c>
    </row>
    <row r="721" spans="1:8" ht="30" customHeight="1">
      <c r="A721" s="453" t="s">
        <v>259</v>
      </c>
      <c r="B721" s="457">
        <v>1006</v>
      </c>
      <c r="C721" s="384" t="s">
        <v>489</v>
      </c>
      <c r="D721" s="365">
        <v>6175</v>
      </c>
      <c r="E721" s="368" t="s">
        <v>13</v>
      </c>
      <c r="F721" s="386">
        <f>'prévision 2017'!I723</f>
        <v>3433500</v>
      </c>
      <c r="G721" s="386">
        <f>'prévision 2017'!H723</f>
        <v>0</v>
      </c>
      <c r="H721" s="158">
        <f>'prévision 2017'!G723</f>
        <v>3433500</v>
      </c>
    </row>
    <row r="722" spans="1:8" ht="30" customHeight="1">
      <c r="A722" s="453" t="s">
        <v>259</v>
      </c>
      <c r="B722" s="457">
        <v>1006</v>
      </c>
      <c r="C722" s="384" t="s">
        <v>489</v>
      </c>
      <c r="D722" s="365">
        <v>6311</v>
      </c>
      <c r="E722" s="368" t="s">
        <v>330</v>
      </c>
      <c r="F722" s="386">
        <f>'prévision 2017'!I724</f>
        <v>57003716</v>
      </c>
      <c r="G722" s="386">
        <f>'prévision 2017'!H724</f>
        <v>0</v>
      </c>
      <c r="H722" s="158">
        <f>'prévision 2017'!G724</f>
        <v>57003716</v>
      </c>
    </row>
    <row r="723" spans="1:8" ht="30" customHeight="1">
      <c r="A723" s="453" t="s">
        <v>259</v>
      </c>
      <c r="B723" s="457">
        <v>1006</v>
      </c>
      <c r="C723" s="384" t="s">
        <v>489</v>
      </c>
      <c r="D723" s="365">
        <v>2121</v>
      </c>
      <c r="E723" s="372" t="s">
        <v>126</v>
      </c>
      <c r="F723" s="386">
        <f>'prévision 2017'!I725</f>
        <v>77358261.52000001</v>
      </c>
      <c r="G723" s="386">
        <f>'prévision 2017'!H725</f>
        <v>0</v>
      </c>
      <c r="H723" s="158">
        <f>'prévision 2017'!G725</f>
        <v>77358261.52000001</v>
      </c>
    </row>
    <row r="724" spans="1:8" ht="30" customHeight="1">
      <c r="A724" s="453" t="s">
        <v>259</v>
      </c>
      <c r="B724" s="457">
        <v>1006</v>
      </c>
      <c r="C724" s="384" t="s">
        <v>489</v>
      </c>
      <c r="D724" s="365">
        <v>21252</v>
      </c>
      <c r="E724" s="368" t="s">
        <v>580</v>
      </c>
      <c r="F724" s="386">
        <f>'prévision 2017'!I726</f>
        <v>0</v>
      </c>
      <c r="G724" s="386">
        <f>'prévision 2017'!H726</f>
        <v>0</v>
      </c>
      <c r="H724" s="158">
        <f>'prévision 2017'!G726</f>
        <v>0</v>
      </c>
    </row>
    <row r="725" spans="1:8" ht="30" customHeight="1">
      <c r="A725" s="453" t="s">
        <v>259</v>
      </c>
      <c r="B725" s="456">
        <v>1006</v>
      </c>
      <c r="C725" s="412" t="s">
        <v>489</v>
      </c>
      <c r="D725" s="379" t="s">
        <v>463</v>
      </c>
      <c r="F725" s="520">
        <f>SUM(F716:F724)</f>
        <v>188062417.52</v>
      </c>
      <c r="G725" s="520">
        <f>SUM(G716:G724)</f>
        <v>17749999.330000002</v>
      </c>
      <c r="H725" s="520">
        <f>SUM(H716:H724)</f>
        <v>188062417.52</v>
      </c>
    </row>
    <row r="726" spans="1:7" ht="30" customHeight="1">
      <c r="A726" s="453" t="s">
        <v>259</v>
      </c>
      <c r="B726" s="417">
        <v>1009</v>
      </c>
      <c r="C726" s="391" t="s">
        <v>219</v>
      </c>
      <c r="F726" s="386"/>
      <c r="G726" s="596"/>
    </row>
    <row r="727" spans="1:8" ht="30" customHeight="1">
      <c r="A727" s="453" t="s">
        <v>259</v>
      </c>
      <c r="B727" s="417">
        <v>1009</v>
      </c>
      <c r="C727" s="384" t="s">
        <v>492</v>
      </c>
      <c r="D727" s="415">
        <v>6173</v>
      </c>
      <c r="E727" s="458" t="s">
        <v>19</v>
      </c>
      <c r="F727" s="386">
        <f>'prévision 2017'!I729</f>
        <v>10000000</v>
      </c>
      <c r="G727" s="386">
        <f>'prévision 2017'!H729</f>
        <v>5426660</v>
      </c>
      <c r="H727" s="158">
        <f>'prévision 2017'!G729</f>
        <v>10000000</v>
      </c>
    </row>
    <row r="728" spans="1:8" ht="30" customHeight="1">
      <c r="A728" s="453" t="s">
        <v>259</v>
      </c>
      <c r="B728" s="459">
        <v>1009</v>
      </c>
      <c r="C728" s="412" t="s">
        <v>492</v>
      </c>
      <c r="D728" s="379" t="s">
        <v>463</v>
      </c>
      <c r="F728" s="520">
        <f>F727</f>
        <v>10000000</v>
      </c>
      <c r="G728" s="520">
        <f>G727</f>
        <v>5426660</v>
      </c>
      <c r="H728" s="414">
        <f>H727</f>
        <v>10000000</v>
      </c>
    </row>
    <row r="729" spans="1:7" ht="30" customHeight="1">
      <c r="A729" s="453" t="s">
        <v>259</v>
      </c>
      <c r="B729" s="410">
        <v>1011</v>
      </c>
      <c r="C729" s="410" t="s">
        <v>121</v>
      </c>
      <c r="D729" s="454"/>
      <c r="F729" s="386"/>
      <c r="G729" s="596"/>
    </row>
    <row r="730" spans="1:8" ht="30" customHeight="1">
      <c r="A730" s="460" t="s">
        <v>259</v>
      </c>
      <c r="B730" s="450">
        <v>1011</v>
      </c>
      <c r="C730" s="384" t="s">
        <v>493</v>
      </c>
      <c r="D730" s="365">
        <v>6611</v>
      </c>
      <c r="E730" s="368" t="s">
        <v>6</v>
      </c>
      <c r="F730" s="386">
        <f>'prévision 2017'!I732</f>
        <v>9109600</v>
      </c>
      <c r="G730" s="386">
        <f>'prévision 2017'!H732</f>
        <v>4433600.239999999</v>
      </c>
      <c r="H730" s="158">
        <f>'prévision 2017'!G732</f>
        <v>9109600</v>
      </c>
    </row>
    <row r="731" spans="1:8" ht="30" customHeight="1">
      <c r="A731" s="453" t="s">
        <v>259</v>
      </c>
      <c r="B731" s="450">
        <v>1011</v>
      </c>
      <c r="C731" s="384" t="s">
        <v>493</v>
      </c>
      <c r="D731" s="365">
        <v>60100</v>
      </c>
      <c r="E731" s="368" t="s">
        <v>7</v>
      </c>
      <c r="F731" s="386">
        <f>'prévision 2017'!I733</f>
        <v>0</v>
      </c>
      <c r="G731" s="386">
        <f>'prévision 2017'!H733</f>
        <v>0</v>
      </c>
      <c r="H731" s="158">
        <f>'prévision 2017'!G733</f>
        <v>0</v>
      </c>
    </row>
    <row r="732" spans="1:8" ht="30" customHeight="1">
      <c r="A732" s="453" t="s">
        <v>259</v>
      </c>
      <c r="B732" s="450">
        <v>1011</v>
      </c>
      <c r="C732" s="384" t="s">
        <v>493</v>
      </c>
      <c r="D732" s="365">
        <v>60101</v>
      </c>
      <c r="E732" s="368" t="s">
        <v>264</v>
      </c>
      <c r="F732" s="386">
        <f>'prévision 2017'!I734</f>
        <v>0</v>
      </c>
      <c r="G732" s="386">
        <f>'prévision 2017'!H734</f>
        <v>0</v>
      </c>
      <c r="H732" s="158">
        <f>'prévision 2017'!G734</f>
        <v>0</v>
      </c>
    </row>
    <row r="733" spans="1:8" ht="30" customHeight="1">
      <c r="A733" s="453" t="s">
        <v>259</v>
      </c>
      <c r="B733" s="450">
        <v>1011</v>
      </c>
      <c r="C733" s="384" t="s">
        <v>493</v>
      </c>
      <c r="D733" s="365">
        <v>6122</v>
      </c>
      <c r="E733" s="389" t="s">
        <v>582</v>
      </c>
      <c r="F733" s="386">
        <f>'prévision 2017'!I735</f>
        <v>0</v>
      </c>
      <c r="G733" s="386">
        <f>'prévision 2017'!H735</f>
        <v>0</v>
      </c>
      <c r="H733" s="158">
        <f>'prévision 2017'!G735</f>
        <v>0</v>
      </c>
    </row>
    <row r="734" spans="1:8" ht="30" customHeight="1">
      <c r="A734" s="453" t="s">
        <v>259</v>
      </c>
      <c r="B734" s="450">
        <v>1011</v>
      </c>
      <c r="C734" s="384" t="s">
        <v>493</v>
      </c>
      <c r="D734" s="365">
        <v>6311</v>
      </c>
      <c r="E734" s="389" t="s">
        <v>594</v>
      </c>
      <c r="F734" s="386">
        <f>'prévision 2017'!I736</f>
        <v>20000000</v>
      </c>
      <c r="G734" s="386">
        <f>'prévision 2017'!H736</f>
        <v>10000000</v>
      </c>
      <c r="H734" s="522">
        <f>'prévision 2017'!G736</f>
        <v>20000000</v>
      </c>
    </row>
    <row r="735" spans="1:8" ht="30" customHeight="1">
      <c r="A735" s="453" t="s">
        <v>259</v>
      </c>
      <c r="B735" s="450">
        <v>1011</v>
      </c>
      <c r="C735" s="412" t="s">
        <v>493</v>
      </c>
      <c r="D735" s="379" t="s">
        <v>463</v>
      </c>
      <c r="F735" s="520">
        <f>SUM(F730:F734)</f>
        <v>29109600</v>
      </c>
      <c r="G735" s="520">
        <f>SUM(G730:G734)</f>
        <v>14433600.239999998</v>
      </c>
      <c r="H735" s="523">
        <f>SUM(H730:H734)</f>
        <v>29109600</v>
      </c>
    </row>
    <row r="736" spans="1:7" ht="30" customHeight="1">
      <c r="A736" s="453" t="s">
        <v>259</v>
      </c>
      <c r="B736" s="410">
        <v>1013</v>
      </c>
      <c r="C736" s="435" t="s">
        <v>123</v>
      </c>
      <c r="D736" s="454"/>
      <c r="F736" s="386"/>
      <c r="G736" s="596"/>
    </row>
    <row r="737" spans="1:8" ht="30" customHeight="1">
      <c r="A737" s="453" t="s">
        <v>259</v>
      </c>
      <c r="B737" s="410">
        <v>1013</v>
      </c>
      <c r="C737" s="384" t="s">
        <v>487</v>
      </c>
      <c r="D737" s="365">
        <v>60100</v>
      </c>
      <c r="E737" s="368" t="s">
        <v>7</v>
      </c>
      <c r="F737" s="386">
        <f>'prévision 2017'!I739</f>
        <v>752000</v>
      </c>
      <c r="G737" s="386">
        <f>'prévision 2017'!H739</f>
        <v>0</v>
      </c>
      <c r="H737" s="158">
        <f>'prévision 2017'!G739</f>
        <v>752000</v>
      </c>
    </row>
    <row r="738" spans="1:8" ht="30" customHeight="1">
      <c r="A738" s="453" t="s">
        <v>259</v>
      </c>
      <c r="B738" s="450">
        <v>1013</v>
      </c>
      <c r="C738" s="384" t="s">
        <v>487</v>
      </c>
      <c r="D738" s="365">
        <v>60101</v>
      </c>
      <c r="E738" s="368" t="s">
        <v>264</v>
      </c>
      <c r="F738" s="386">
        <f>'prévision 2017'!I740</f>
        <v>564000</v>
      </c>
      <c r="G738" s="386">
        <f>'prévision 2017'!H740</f>
        <v>0</v>
      </c>
      <c r="H738" s="158">
        <f>'prévision 2017'!G740</f>
        <v>564000</v>
      </c>
    </row>
    <row r="739" spans="1:8" ht="30" customHeight="1">
      <c r="A739" s="453" t="s">
        <v>259</v>
      </c>
      <c r="B739" s="450">
        <v>1013</v>
      </c>
      <c r="C739" s="384" t="s">
        <v>487</v>
      </c>
      <c r="D739" s="365">
        <v>6122</v>
      </c>
      <c r="E739" s="389" t="s">
        <v>582</v>
      </c>
      <c r="F739" s="386">
        <f>'prévision 2017'!I741</f>
        <v>470000</v>
      </c>
      <c r="G739" s="386">
        <f>'prévision 2017'!H741</f>
        <v>0</v>
      </c>
      <c r="H739" s="158">
        <f>'prévision 2017'!G741</f>
        <v>470000</v>
      </c>
    </row>
    <row r="740" spans="1:8" ht="30" customHeight="1">
      <c r="A740" s="453" t="s">
        <v>259</v>
      </c>
      <c r="B740" s="450">
        <v>1013</v>
      </c>
      <c r="C740" s="384" t="s">
        <v>487</v>
      </c>
      <c r="D740" s="365">
        <v>6021</v>
      </c>
      <c r="E740" s="368" t="s">
        <v>124</v>
      </c>
      <c r="F740" s="386">
        <f>'prévision 2017'!I742</f>
        <v>470000</v>
      </c>
      <c r="G740" s="386">
        <f>'prévision 2017'!H742</f>
        <v>0</v>
      </c>
      <c r="H740" s="158">
        <f>'prévision 2017'!G742</f>
        <v>470000</v>
      </c>
    </row>
    <row r="741" spans="1:8" ht="30" customHeight="1">
      <c r="A741" s="453" t="s">
        <v>259</v>
      </c>
      <c r="B741" s="450">
        <v>1013</v>
      </c>
      <c r="C741" s="412" t="s">
        <v>487</v>
      </c>
      <c r="D741" s="379" t="s">
        <v>463</v>
      </c>
      <c r="F741" s="520">
        <f>SUM(F737:F740)</f>
        <v>2256000</v>
      </c>
      <c r="G741" s="520">
        <f>SUM(G737:G740)</f>
        <v>0</v>
      </c>
      <c r="H741" s="414">
        <f>SUM(H737:H740)</f>
        <v>2256000</v>
      </c>
    </row>
    <row r="742" spans="1:7" ht="30" customHeight="1">
      <c r="A742" s="453" t="s">
        <v>259</v>
      </c>
      <c r="B742" s="461">
        <v>1014</v>
      </c>
      <c r="C742" s="433" t="s">
        <v>125</v>
      </c>
      <c r="D742" s="462"/>
      <c r="F742" s="386"/>
      <c r="G742" s="596"/>
    </row>
    <row r="743" spans="1:8" ht="30" customHeight="1">
      <c r="A743" s="453" t="s">
        <v>259</v>
      </c>
      <c r="B743" s="461">
        <v>1014</v>
      </c>
      <c r="C743" s="384" t="s">
        <v>494</v>
      </c>
      <c r="D743" s="365">
        <v>6611</v>
      </c>
      <c r="E743" s="368" t="s">
        <v>6</v>
      </c>
      <c r="F743" s="386">
        <f>'prévision 2017'!I745</f>
        <v>32386404</v>
      </c>
      <c r="G743" s="386">
        <f>'prévision 2017'!H745</f>
        <v>25958532.979999997</v>
      </c>
      <c r="H743" s="158">
        <f>'prévision 2017'!G745</f>
        <v>32386404</v>
      </c>
    </row>
    <row r="744" spans="1:8" ht="30" customHeight="1">
      <c r="A744" s="453" t="s">
        <v>259</v>
      </c>
      <c r="B744" s="463">
        <v>1014</v>
      </c>
      <c r="C744" s="384" t="s">
        <v>494</v>
      </c>
      <c r="D744" s="365">
        <v>60100</v>
      </c>
      <c r="E744" s="368" t="s">
        <v>7</v>
      </c>
      <c r="F744" s="386">
        <f>'prévision 2017'!I746</f>
        <v>600000</v>
      </c>
      <c r="G744" s="386">
        <f>'prévision 2017'!H746</f>
        <v>0</v>
      </c>
      <c r="H744" s="158">
        <f>'prévision 2017'!G746</f>
        <v>600000</v>
      </c>
    </row>
    <row r="745" spans="1:8" ht="30" customHeight="1">
      <c r="A745" s="453" t="s">
        <v>259</v>
      </c>
      <c r="B745" s="463">
        <v>1014</v>
      </c>
      <c r="C745" s="384" t="s">
        <v>494</v>
      </c>
      <c r="D745" s="365">
        <v>60101</v>
      </c>
      <c r="E745" s="368" t="s">
        <v>264</v>
      </c>
      <c r="F745" s="386">
        <f>'prévision 2017'!I747</f>
        <v>0</v>
      </c>
      <c r="G745" s="386">
        <f>'prévision 2017'!H747</f>
        <v>0</v>
      </c>
      <c r="H745" s="158">
        <f>'prévision 2017'!G747</f>
        <v>0</v>
      </c>
    </row>
    <row r="746" spans="1:8" ht="30" customHeight="1">
      <c r="A746" s="453" t="s">
        <v>259</v>
      </c>
      <c r="B746" s="463">
        <v>1014</v>
      </c>
      <c r="C746" s="384" t="s">
        <v>494</v>
      </c>
      <c r="D746" s="365">
        <v>6122</v>
      </c>
      <c r="E746" s="389" t="s">
        <v>582</v>
      </c>
      <c r="F746" s="386">
        <f>'prévision 2017'!I748</f>
        <v>660000</v>
      </c>
      <c r="G746" s="386">
        <f>'prévision 2017'!H748</f>
        <v>0</v>
      </c>
      <c r="H746" s="158">
        <f>'prévision 2017'!G748</f>
        <v>660000</v>
      </c>
    </row>
    <row r="747" spans="1:8" ht="30" customHeight="1">
      <c r="A747" s="453" t="s">
        <v>259</v>
      </c>
      <c r="B747" s="463">
        <v>1014</v>
      </c>
      <c r="C747" s="412" t="s">
        <v>494</v>
      </c>
      <c r="D747" s="379" t="s">
        <v>463</v>
      </c>
      <c r="F747" s="520">
        <f>SUM(F743:F746)</f>
        <v>33646404</v>
      </c>
      <c r="G747" s="520">
        <f>SUM(G743:G746)</f>
        <v>25958532.979999997</v>
      </c>
      <c r="H747" s="414">
        <f>SUM(H743:H746)</f>
        <v>33646404</v>
      </c>
    </row>
    <row r="748" spans="1:8" ht="30" customHeight="1">
      <c r="A748" s="453" t="s">
        <v>259</v>
      </c>
      <c r="B748" s="463">
        <v>1104</v>
      </c>
      <c r="C748" s="384" t="s">
        <v>497</v>
      </c>
      <c r="D748" s="402" t="s">
        <v>128</v>
      </c>
      <c r="E748" s="447"/>
      <c r="F748" s="386"/>
      <c r="G748" s="386"/>
      <c r="H748" s="414"/>
    </row>
    <row r="749" spans="1:8" ht="30" customHeight="1">
      <c r="A749" s="526" t="s">
        <v>259</v>
      </c>
      <c r="B749" s="524" t="s">
        <v>666</v>
      </c>
      <c r="C749" s="525" t="s">
        <v>487</v>
      </c>
      <c r="D749" s="327" t="s">
        <v>667</v>
      </c>
      <c r="E749" s="527"/>
      <c r="F749" s="386"/>
      <c r="G749" s="386"/>
      <c r="H749" s="414"/>
    </row>
    <row r="750" spans="1:8" ht="30" customHeight="1">
      <c r="A750" s="526" t="s">
        <v>259</v>
      </c>
      <c r="B750" s="524" t="s">
        <v>666</v>
      </c>
      <c r="C750" s="525" t="s">
        <v>487</v>
      </c>
      <c r="D750" s="218">
        <v>6311</v>
      </c>
      <c r="E750" s="359" t="s">
        <v>594</v>
      </c>
      <c r="F750" s="386">
        <f>'prévision 2017'!I751</f>
        <v>12500000</v>
      </c>
      <c r="G750" s="386">
        <f>'prévision 2017'!H751</f>
        <v>12500000</v>
      </c>
      <c r="H750" s="531">
        <f>'prévision 2017'!G751</f>
        <v>0</v>
      </c>
    </row>
    <row r="751" spans="1:8" ht="30" customHeight="1">
      <c r="A751" s="526" t="s">
        <v>259</v>
      </c>
      <c r="B751" s="524" t="s">
        <v>666</v>
      </c>
      <c r="C751" s="525" t="s">
        <v>487</v>
      </c>
      <c r="D751" s="327" t="s">
        <v>20</v>
      </c>
      <c r="E751" s="527"/>
      <c r="F751" s="166">
        <f>SUM(F750)</f>
        <v>12500000</v>
      </c>
      <c r="G751" s="166">
        <f>SUM(G750)</f>
        <v>12500000</v>
      </c>
      <c r="H751" s="414">
        <f>SUM(H750)</f>
        <v>0</v>
      </c>
    </row>
    <row r="752" spans="1:8" ht="30" customHeight="1">
      <c r="A752" s="453" t="s">
        <v>259</v>
      </c>
      <c r="B752" s="463">
        <v>1104</v>
      </c>
      <c r="C752" s="384" t="s">
        <v>497</v>
      </c>
      <c r="D752" s="365">
        <v>6611</v>
      </c>
      <c r="E752" s="368" t="s">
        <v>6</v>
      </c>
      <c r="F752" s="386">
        <f>'prévision 2017'!I754</f>
        <v>18004999.56</v>
      </c>
      <c r="G752" s="386">
        <f>'prévision 2017'!H754</f>
        <v>29515968.060000006</v>
      </c>
      <c r="H752" s="522">
        <f>'prévision 2017'!G754</f>
        <v>18004999.56</v>
      </c>
    </row>
    <row r="753" spans="1:8" ht="30" customHeight="1">
      <c r="A753" s="453" t="s">
        <v>259</v>
      </c>
      <c r="B753" s="463">
        <v>1104</v>
      </c>
      <c r="C753" s="384" t="s">
        <v>497</v>
      </c>
      <c r="D753" s="365">
        <v>60100</v>
      </c>
      <c r="E753" s="368" t="s">
        <v>7</v>
      </c>
      <c r="F753" s="386">
        <f>'prévision 2017'!I755</f>
        <v>564000</v>
      </c>
      <c r="G753" s="386">
        <f>'prévision 2017'!H755</f>
        <v>423000</v>
      </c>
      <c r="H753" s="522">
        <f>'prévision 2017'!G755</f>
        <v>564000</v>
      </c>
    </row>
    <row r="754" spans="1:8" ht="30" customHeight="1">
      <c r="A754" s="453" t="s">
        <v>259</v>
      </c>
      <c r="B754" s="463">
        <v>1104</v>
      </c>
      <c r="C754" s="384" t="s">
        <v>497</v>
      </c>
      <c r="D754" s="365">
        <v>60101</v>
      </c>
      <c r="E754" s="368" t="s">
        <v>264</v>
      </c>
      <c r="F754" s="386">
        <f>'prévision 2017'!I756</f>
        <v>0</v>
      </c>
      <c r="G754" s="386">
        <f>'prévision 2017'!H756</f>
        <v>0</v>
      </c>
      <c r="H754" s="522">
        <f>'prévision 2017'!G756</f>
        <v>0</v>
      </c>
    </row>
    <row r="755" spans="1:8" ht="30" customHeight="1">
      <c r="A755" s="453" t="s">
        <v>259</v>
      </c>
      <c r="B755" s="463">
        <v>1104</v>
      </c>
      <c r="C755" s="384" t="s">
        <v>497</v>
      </c>
      <c r="D755" s="365">
        <v>6122</v>
      </c>
      <c r="E755" s="389" t="s">
        <v>582</v>
      </c>
      <c r="F755" s="386">
        <f>'prévision 2017'!I757</f>
        <v>376000</v>
      </c>
      <c r="G755" s="386">
        <f>'prévision 2017'!H757</f>
        <v>281500</v>
      </c>
      <c r="H755" s="522">
        <f>'prévision 2017'!G757</f>
        <v>376000</v>
      </c>
    </row>
    <row r="756" spans="1:8" ht="30" customHeight="1">
      <c r="A756" s="453" t="s">
        <v>259</v>
      </c>
      <c r="B756" s="463">
        <v>1104</v>
      </c>
      <c r="C756" s="384" t="s">
        <v>497</v>
      </c>
      <c r="D756" s="365">
        <v>2121</v>
      </c>
      <c r="E756" s="368" t="s">
        <v>586</v>
      </c>
      <c r="F756" s="386">
        <f>'prévision 2017'!I758</f>
        <v>185253283</v>
      </c>
      <c r="G756" s="386">
        <f>'prévision 2017'!H758</f>
        <v>0</v>
      </c>
      <c r="H756" s="522">
        <f>'prévision 2017'!G758</f>
        <v>185253283</v>
      </c>
    </row>
    <row r="757" spans="1:8" ht="30" customHeight="1">
      <c r="A757" s="453" t="s">
        <v>259</v>
      </c>
      <c r="B757" s="463">
        <v>1104</v>
      </c>
      <c r="C757" s="384" t="s">
        <v>497</v>
      </c>
      <c r="D757" s="402" t="s">
        <v>463</v>
      </c>
      <c r="E757" s="447"/>
      <c r="F757" s="520">
        <f>SUM(F752:F756)</f>
        <v>204198282.56</v>
      </c>
      <c r="G757" s="520">
        <f>SUM(G752:G756)</f>
        <v>30220468.060000006</v>
      </c>
      <c r="H757" s="414">
        <f>SUM(H752:H756)</f>
        <v>204198282.56</v>
      </c>
    </row>
    <row r="758" spans="1:8" ht="30" customHeight="1">
      <c r="A758" s="453" t="s">
        <v>259</v>
      </c>
      <c r="B758" s="463">
        <v>1105</v>
      </c>
      <c r="C758" s="384" t="s">
        <v>496</v>
      </c>
      <c r="D758" s="413" t="s">
        <v>220</v>
      </c>
      <c r="E758" s="447"/>
      <c r="F758" s="386"/>
      <c r="G758" s="386"/>
      <c r="H758" s="414"/>
    </row>
    <row r="759" spans="1:8" ht="30" customHeight="1">
      <c r="A759" s="453" t="s">
        <v>259</v>
      </c>
      <c r="B759" s="463">
        <v>1105</v>
      </c>
      <c r="C759" s="384" t="s">
        <v>496</v>
      </c>
      <c r="D759" s="365">
        <v>6611</v>
      </c>
      <c r="E759" s="368" t="s">
        <v>6</v>
      </c>
      <c r="F759" s="386">
        <f>'prévision 2017'!I761</f>
        <v>23290400</v>
      </c>
      <c r="G759" s="386">
        <f>'prévision 2017'!H761</f>
        <v>20161866.400000002</v>
      </c>
      <c r="H759" s="522">
        <f>'prévision 2017'!G761</f>
        <v>23290400</v>
      </c>
    </row>
    <row r="760" spans="1:8" ht="30" customHeight="1">
      <c r="A760" s="453" t="s">
        <v>259</v>
      </c>
      <c r="B760" s="463">
        <v>1105</v>
      </c>
      <c r="C760" s="384" t="s">
        <v>496</v>
      </c>
      <c r="D760" s="365">
        <v>60100</v>
      </c>
      <c r="E760" s="368" t="s">
        <v>7</v>
      </c>
      <c r="F760" s="386">
        <f>'prévision 2017'!I762</f>
        <v>564000</v>
      </c>
      <c r="G760" s="386">
        <f>'prévision 2017'!H762</f>
        <v>423000</v>
      </c>
      <c r="H760" s="522">
        <f>'prévision 2017'!G762</f>
        <v>564000</v>
      </c>
    </row>
    <row r="761" spans="1:8" ht="30" customHeight="1">
      <c r="A761" s="453" t="s">
        <v>259</v>
      </c>
      <c r="B761" s="463">
        <v>1105</v>
      </c>
      <c r="C761" s="384" t="s">
        <v>496</v>
      </c>
      <c r="D761" s="365">
        <v>6122</v>
      </c>
      <c r="E761" s="389" t="s">
        <v>582</v>
      </c>
      <c r="F761" s="386">
        <f>'prévision 2017'!I763</f>
        <v>376000</v>
      </c>
      <c r="G761" s="386">
        <f>'prévision 2017'!H763</f>
        <v>281500</v>
      </c>
      <c r="H761" s="522">
        <f>'prévision 2017'!G763</f>
        <v>376000</v>
      </c>
    </row>
    <row r="762" spans="1:8" ht="30" customHeight="1">
      <c r="A762" s="453" t="s">
        <v>259</v>
      </c>
      <c r="B762" s="463">
        <v>1105</v>
      </c>
      <c r="C762" s="384" t="s">
        <v>496</v>
      </c>
      <c r="D762" s="365">
        <v>21411</v>
      </c>
      <c r="E762" s="368" t="s">
        <v>185</v>
      </c>
      <c r="F762" s="386">
        <f>'prévision 2017'!I764</f>
        <v>1095823840</v>
      </c>
      <c r="G762" s="386">
        <f>'prévision 2017'!H764</f>
        <v>330000000</v>
      </c>
      <c r="H762" s="522">
        <f>'prévision 2017'!G764</f>
        <v>1095823840</v>
      </c>
    </row>
    <row r="763" spans="1:8" ht="30" customHeight="1">
      <c r="A763" s="453" t="s">
        <v>259</v>
      </c>
      <c r="B763" s="463">
        <v>1105</v>
      </c>
      <c r="C763" s="384" t="s">
        <v>496</v>
      </c>
      <c r="D763" s="365">
        <v>21412</v>
      </c>
      <c r="E763" s="368" t="s">
        <v>651</v>
      </c>
      <c r="F763" s="386">
        <f>'prévision 2017'!I765</f>
        <v>500000000</v>
      </c>
      <c r="G763" s="386">
        <f>'prévision 2017'!H765</f>
        <v>0</v>
      </c>
      <c r="H763" s="522">
        <f>'prévision 2017'!G765</f>
        <v>500000000</v>
      </c>
    </row>
    <row r="764" spans="1:8" ht="30" customHeight="1">
      <c r="A764" s="453" t="s">
        <v>259</v>
      </c>
      <c r="B764" s="463">
        <v>1105</v>
      </c>
      <c r="C764" s="384" t="s">
        <v>496</v>
      </c>
      <c r="D764" s="402" t="s">
        <v>463</v>
      </c>
      <c r="E764" s="447"/>
      <c r="F764" s="520">
        <f>SUM(F759:F763)</f>
        <v>1620054240</v>
      </c>
      <c r="G764" s="520">
        <f>SUM(G759:G763)</f>
        <v>350866366.4</v>
      </c>
      <c r="H764" s="414">
        <f>SUM(H759:H763)</f>
        <v>1620054240</v>
      </c>
    </row>
    <row r="765" spans="1:8" ht="30" customHeight="1">
      <c r="A765" s="453" t="s">
        <v>259</v>
      </c>
      <c r="B765" s="463">
        <v>1106</v>
      </c>
      <c r="C765" s="384" t="s">
        <v>498</v>
      </c>
      <c r="D765" s="413" t="s">
        <v>221</v>
      </c>
      <c r="E765" s="447"/>
      <c r="F765" s="386"/>
      <c r="G765" s="386"/>
      <c r="H765" s="414"/>
    </row>
    <row r="766" spans="1:8" ht="30" customHeight="1">
      <c r="A766" s="453" t="s">
        <v>259</v>
      </c>
      <c r="B766" s="463">
        <v>1106</v>
      </c>
      <c r="C766" s="384" t="s">
        <v>498</v>
      </c>
      <c r="D766" s="365">
        <v>6611</v>
      </c>
      <c r="E766" s="368" t="s">
        <v>6</v>
      </c>
      <c r="F766" s="386">
        <f>'prévision 2017'!I768</f>
        <v>11249600</v>
      </c>
      <c r="G766" s="386">
        <f>'prévision 2017'!H768</f>
        <v>0</v>
      </c>
      <c r="H766" s="522">
        <f>'prévision 2017'!G768</f>
        <v>11249600</v>
      </c>
    </row>
    <row r="767" spans="1:8" ht="30" customHeight="1">
      <c r="A767" s="453" t="s">
        <v>259</v>
      </c>
      <c r="B767" s="463">
        <v>1106</v>
      </c>
      <c r="C767" s="384" t="s">
        <v>498</v>
      </c>
      <c r="D767" s="365">
        <v>60100</v>
      </c>
      <c r="E767" s="368" t="s">
        <v>7</v>
      </c>
      <c r="F767" s="386">
        <f>'prévision 2017'!I769</f>
        <v>470000</v>
      </c>
      <c r="G767" s="386">
        <f>'prévision 2017'!H769</f>
        <v>117500</v>
      </c>
      <c r="H767" s="522">
        <f>'prévision 2017'!G769</f>
        <v>470000</v>
      </c>
    </row>
    <row r="768" spans="1:8" ht="30" customHeight="1">
      <c r="A768" s="453" t="s">
        <v>259</v>
      </c>
      <c r="B768" s="463">
        <v>1106</v>
      </c>
      <c r="C768" s="384" t="s">
        <v>498</v>
      </c>
      <c r="D768" s="365">
        <v>6122</v>
      </c>
      <c r="E768" s="389" t="s">
        <v>582</v>
      </c>
      <c r="F768" s="386">
        <f>'prévision 2017'!I770</f>
        <v>376000</v>
      </c>
      <c r="G768" s="386">
        <f>'prévision 2017'!H770</f>
        <v>0</v>
      </c>
      <c r="H768" s="522">
        <f>'prévision 2017'!G770</f>
        <v>376000</v>
      </c>
    </row>
    <row r="769" spans="1:8" ht="30" customHeight="1">
      <c r="A769" s="453" t="s">
        <v>259</v>
      </c>
      <c r="B769" s="463">
        <v>1106</v>
      </c>
      <c r="C769" s="384" t="s">
        <v>498</v>
      </c>
      <c r="D769" s="402" t="s">
        <v>463</v>
      </c>
      <c r="E769" s="447"/>
      <c r="F769" s="520">
        <f>SUM(F766:F768)</f>
        <v>12095600</v>
      </c>
      <c r="G769" s="520">
        <f>SUM(G766:G768)</f>
        <v>117500</v>
      </c>
      <c r="H769" s="414">
        <f>SUM(H766:H768)</f>
        <v>12095600</v>
      </c>
    </row>
    <row r="770" spans="1:8" ht="30" customHeight="1">
      <c r="A770" s="453" t="s">
        <v>259</v>
      </c>
      <c r="B770" s="463">
        <v>1107</v>
      </c>
      <c r="C770" s="384" t="s">
        <v>392</v>
      </c>
      <c r="D770" s="413" t="s">
        <v>129</v>
      </c>
      <c r="E770" s="464"/>
      <c r="F770" s="386"/>
      <c r="G770" s="386"/>
      <c r="H770" s="414"/>
    </row>
    <row r="771" spans="1:8" ht="30" customHeight="1">
      <c r="A771" s="453" t="s">
        <v>259</v>
      </c>
      <c r="B771" s="463">
        <v>1107</v>
      </c>
      <c r="C771" s="384" t="s">
        <v>392</v>
      </c>
      <c r="D771" s="365">
        <v>6611</v>
      </c>
      <c r="E771" s="368" t="s">
        <v>6</v>
      </c>
      <c r="F771" s="386">
        <f>'prévision 2017'!I773</f>
        <v>9915200</v>
      </c>
      <c r="G771" s="386">
        <f>'prévision 2017'!H773</f>
        <v>0</v>
      </c>
      <c r="H771" s="522">
        <f>'prévision 2017'!G773</f>
        <v>9915200</v>
      </c>
    </row>
    <row r="772" spans="1:8" ht="30" customHeight="1">
      <c r="A772" s="453" t="s">
        <v>259</v>
      </c>
      <c r="B772" s="463">
        <v>1107</v>
      </c>
      <c r="C772" s="384" t="s">
        <v>392</v>
      </c>
      <c r="D772" s="365">
        <v>60100</v>
      </c>
      <c r="E772" s="368" t="s">
        <v>7</v>
      </c>
      <c r="F772" s="386">
        <f>'prévision 2017'!I774</f>
        <v>500000</v>
      </c>
      <c r="G772" s="386">
        <f>'prévision 2017'!H774</f>
        <v>375000</v>
      </c>
      <c r="H772" s="522">
        <f>'prévision 2017'!G774</f>
        <v>500000</v>
      </c>
    </row>
    <row r="773" spans="1:8" ht="30" customHeight="1">
      <c r="A773" s="453" t="s">
        <v>259</v>
      </c>
      <c r="B773" s="463">
        <v>1107</v>
      </c>
      <c r="C773" s="384" t="s">
        <v>392</v>
      </c>
      <c r="D773" s="365">
        <v>6122</v>
      </c>
      <c r="E773" s="389" t="s">
        <v>582</v>
      </c>
      <c r="F773" s="386">
        <f>'prévision 2017'!I775</f>
        <v>0</v>
      </c>
      <c r="G773" s="386">
        <f>'prévision 2017'!H775</f>
        <v>0</v>
      </c>
      <c r="H773" s="522">
        <f>'prévision 2017'!G775</f>
        <v>0</v>
      </c>
    </row>
    <row r="774" spans="1:8" ht="30" customHeight="1">
      <c r="A774" s="453" t="s">
        <v>259</v>
      </c>
      <c r="B774" s="463">
        <v>1107</v>
      </c>
      <c r="C774" s="384" t="s">
        <v>392</v>
      </c>
      <c r="D774" s="402" t="s">
        <v>463</v>
      </c>
      <c r="E774" s="447"/>
      <c r="F774" s="520">
        <f>SUM(F771:F773)</f>
        <v>10415200</v>
      </c>
      <c r="G774" s="520">
        <f>'prévision 2017'!H776</f>
        <v>375000</v>
      </c>
      <c r="H774" s="523">
        <f>SUM(H771:H773)</f>
        <v>10415200</v>
      </c>
    </row>
    <row r="775" spans="1:8" ht="30" customHeight="1">
      <c r="A775" s="453">
        <v>10</v>
      </c>
      <c r="B775" s="379" t="s">
        <v>72</v>
      </c>
      <c r="F775" s="520">
        <f>F751+F747+F741+F735+F728++F725+F714+F707+F701+F694+F774+F757+F764+F769</f>
        <v>2791699489.7799997</v>
      </c>
      <c r="G775" s="520">
        <f>G751+G747+G741+G735+G728++G725+G714+G707+G701+G694+G774+G757+G764+G769</f>
        <v>622034224.64</v>
      </c>
      <c r="H775" s="523">
        <f>H751+H747+H741+H735+H728++H725+H714+H707+H701+H694+H774+H757+H764+H769</f>
        <v>4779199489.78</v>
      </c>
    </row>
    <row r="776" spans="1:8" ht="30" customHeight="1">
      <c r="A776" s="387" t="s">
        <v>108</v>
      </c>
      <c r="B776" s="373" t="s">
        <v>536</v>
      </c>
      <c r="C776" s="434"/>
      <c r="D776" s="434"/>
      <c r="E776" s="434"/>
      <c r="F776" s="386"/>
      <c r="G776" s="620"/>
      <c r="H776" s="168"/>
    </row>
    <row r="777" spans="1:7" ht="30" customHeight="1">
      <c r="A777" s="387" t="s">
        <v>108</v>
      </c>
      <c r="B777" s="456">
        <v>1101</v>
      </c>
      <c r="C777" s="410" t="s">
        <v>550</v>
      </c>
      <c r="F777" s="386"/>
      <c r="G777" s="596"/>
    </row>
    <row r="778" spans="1:8" ht="30" customHeight="1">
      <c r="A778" s="165" t="s">
        <v>108</v>
      </c>
      <c r="B778" s="463">
        <v>1101</v>
      </c>
      <c r="C778" s="384" t="s">
        <v>361</v>
      </c>
      <c r="D778" s="365">
        <v>6611</v>
      </c>
      <c r="E778" s="368" t="s">
        <v>6</v>
      </c>
      <c r="F778" s="386">
        <f>'prévision 2017'!I780</f>
        <v>24380004</v>
      </c>
      <c r="G778" s="386">
        <f>'prévision 2017'!H780</f>
        <v>97883532.23</v>
      </c>
      <c r="H778" s="158">
        <f>'prévision 2017'!G780</f>
        <v>24380004</v>
      </c>
    </row>
    <row r="779" spans="1:8" ht="30" customHeight="1">
      <c r="A779" s="165" t="s">
        <v>108</v>
      </c>
      <c r="B779" s="463">
        <v>1101</v>
      </c>
      <c r="C779" s="384" t="s">
        <v>361</v>
      </c>
      <c r="D779" s="365">
        <v>60100</v>
      </c>
      <c r="E779" s="368" t="s">
        <v>7</v>
      </c>
      <c r="F779" s="386">
        <f>'prévision 2017'!I781</f>
        <v>846000</v>
      </c>
      <c r="G779" s="386">
        <f>'prévision 2017'!H781</f>
        <v>200000</v>
      </c>
      <c r="H779" s="158">
        <f>'prévision 2017'!G781</f>
        <v>846000</v>
      </c>
    </row>
    <row r="780" spans="1:8" ht="30" customHeight="1">
      <c r="A780" s="165" t="s">
        <v>108</v>
      </c>
      <c r="B780" s="463">
        <v>1101</v>
      </c>
      <c r="C780" s="384" t="s">
        <v>361</v>
      </c>
      <c r="D780" s="365">
        <v>6122</v>
      </c>
      <c r="E780" s="389" t="s">
        <v>582</v>
      </c>
      <c r="F780" s="386">
        <f>'prévision 2017'!I782</f>
        <v>517000</v>
      </c>
      <c r="G780" s="386">
        <f>'prévision 2017'!H782</f>
        <v>129000</v>
      </c>
      <c r="H780" s="158">
        <f>'prévision 2017'!G782</f>
        <v>517000</v>
      </c>
    </row>
    <row r="781" spans="1:8" ht="30" customHeight="1">
      <c r="A781" s="165" t="s">
        <v>108</v>
      </c>
      <c r="B781" s="463">
        <v>1101</v>
      </c>
      <c r="C781" s="384" t="s">
        <v>361</v>
      </c>
      <c r="D781" s="365">
        <v>6175</v>
      </c>
      <c r="E781" s="368" t="s">
        <v>13</v>
      </c>
      <c r="F781" s="386">
        <f>'prévision 2017'!I783</f>
        <v>1300000</v>
      </c>
      <c r="G781" s="386">
        <f>'prévision 2017'!H783</f>
        <v>325000</v>
      </c>
      <c r="H781" s="158">
        <f>'prévision 2017'!G783</f>
        <v>1300000</v>
      </c>
    </row>
    <row r="782" spans="1:8" ht="30" customHeight="1">
      <c r="A782" s="165" t="s">
        <v>108</v>
      </c>
      <c r="B782" s="463">
        <v>1101</v>
      </c>
      <c r="C782" s="384" t="s">
        <v>361</v>
      </c>
      <c r="D782" s="365">
        <v>2171</v>
      </c>
      <c r="E782" s="368" t="s">
        <v>284</v>
      </c>
      <c r="F782" s="386">
        <f>'prévision 2017'!I784</f>
        <v>0</v>
      </c>
      <c r="G782" s="386">
        <f>'prévision 2017'!H784</f>
        <v>0</v>
      </c>
      <c r="H782" s="158"/>
    </row>
    <row r="783" spans="1:8" ht="30" customHeight="1">
      <c r="A783" s="165" t="s">
        <v>108</v>
      </c>
      <c r="B783" s="463">
        <v>1101</v>
      </c>
      <c r="C783" s="412" t="s">
        <v>361</v>
      </c>
      <c r="D783" s="379" t="s">
        <v>463</v>
      </c>
      <c r="F783" s="520">
        <f>SUM(F778:F781)</f>
        <v>27043004</v>
      </c>
      <c r="G783" s="520">
        <f>SUM(G778:G781)</f>
        <v>98537532.23</v>
      </c>
      <c r="H783" s="414">
        <f>SUM(H778:H781)</f>
        <v>27043004</v>
      </c>
    </row>
    <row r="784" spans="1:7" ht="30" customHeight="1">
      <c r="A784" s="165" t="s">
        <v>108</v>
      </c>
      <c r="B784" s="463">
        <v>1102</v>
      </c>
      <c r="C784" s="421" t="s">
        <v>66</v>
      </c>
      <c r="F784" s="386"/>
      <c r="G784" s="596"/>
    </row>
    <row r="785" spans="1:8" ht="30" customHeight="1">
      <c r="A785" s="165" t="s">
        <v>108</v>
      </c>
      <c r="B785" s="463">
        <v>1102</v>
      </c>
      <c r="C785" s="384" t="s">
        <v>361</v>
      </c>
      <c r="D785" s="365">
        <v>6611</v>
      </c>
      <c r="E785" s="368" t="s">
        <v>6</v>
      </c>
      <c r="F785" s="386">
        <f>'prévision 2017'!I787</f>
        <v>26520800</v>
      </c>
      <c r="G785" s="386">
        <f>'prévision 2017'!H787</f>
        <v>7705332.88</v>
      </c>
      <c r="H785" s="158">
        <f>'prévision 2017'!G787</f>
        <v>26520800</v>
      </c>
    </row>
    <row r="786" spans="1:8" ht="30" customHeight="1">
      <c r="A786" s="165" t="s">
        <v>108</v>
      </c>
      <c r="B786" s="463">
        <v>1102</v>
      </c>
      <c r="C786" s="384" t="s">
        <v>361</v>
      </c>
      <c r="D786" s="365">
        <v>60100</v>
      </c>
      <c r="E786" s="368" t="s">
        <v>7</v>
      </c>
      <c r="F786" s="386">
        <f>'prévision 2017'!I788</f>
        <v>1000000</v>
      </c>
      <c r="G786" s="386">
        <f>'prévision 2017'!H788</f>
        <v>0</v>
      </c>
      <c r="H786" s="158">
        <f>'prévision 2017'!G788</f>
        <v>1000000</v>
      </c>
    </row>
    <row r="787" spans="1:8" ht="30" customHeight="1">
      <c r="A787" s="165" t="s">
        <v>108</v>
      </c>
      <c r="B787" s="463">
        <v>1102</v>
      </c>
      <c r="C787" s="384" t="s">
        <v>361</v>
      </c>
      <c r="D787" s="365">
        <v>60101</v>
      </c>
      <c r="E787" s="368" t="s">
        <v>255</v>
      </c>
      <c r="F787" s="386">
        <f>'prévision 2017'!I789</f>
        <v>0</v>
      </c>
      <c r="G787" s="386">
        <f>'prévision 2017'!H789</f>
        <v>0</v>
      </c>
      <c r="H787" s="158">
        <f>'prévision 2017'!G789</f>
        <v>0</v>
      </c>
    </row>
    <row r="788" spans="1:8" ht="30" customHeight="1">
      <c r="A788" s="165" t="s">
        <v>108</v>
      </c>
      <c r="B788" s="463">
        <v>1102</v>
      </c>
      <c r="C788" s="384" t="s">
        <v>361</v>
      </c>
      <c r="D788" s="365">
        <v>6122</v>
      </c>
      <c r="E788" s="389" t="s">
        <v>582</v>
      </c>
      <c r="F788" s="386">
        <f>'prévision 2017'!I790</f>
        <v>800000</v>
      </c>
      <c r="G788" s="386">
        <f>'prévision 2017'!H790</f>
        <v>200000</v>
      </c>
      <c r="H788" s="158">
        <f>'prévision 2017'!G790</f>
        <v>800000</v>
      </c>
    </row>
    <row r="789" spans="1:8" ht="30" customHeight="1">
      <c r="A789" s="165" t="s">
        <v>108</v>
      </c>
      <c r="B789" s="463">
        <v>1102</v>
      </c>
      <c r="C789" s="384" t="s">
        <v>361</v>
      </c>
      <c r="D789" s="365">
        <v>6143</v>
      </c>
      <c r="E789" s="368" t="s">
        <v>287</v>
      </c>
      <c r="F789" s="386">
        <f>'prévision 2017'!I791</f>
        <v>0</v>
      </c>
      <c r="G789" s="386">
        <f>'prévision 2017'!H791</f>
        <v>0</v>
      </c>
      <c r="H789" s="158">
        <f>'prévision 2017'!G791</f>
        <v>0</v>
      </c>
    </row>
    <row r="790" spans="1:8" ht="30" customHeight="1">
      <c r="A790" s="165" t="s">
        <v>108</v>
      </c>
      <c r="B790" s="463">
        <v>1102</v>
      </c>
      <c r="C790" s="384" t="s">
        <v>361</v>
      </c>
      <c r="D790" s="365">
        <v>6175</v>
      </c>
      <c r="E790" s="368" t="s">
        <v>13</v>
      </c>
      <c r="F790" s="386">
        <f>'prévision 2017'!I792</f>
        <v>0</v>
      </c>
      <c r="G790" s="386">
        <f>'prévision 2017'!H792</f>
        <v>0</v>
      </c>
      <c r="H790" s="158">
        <f>'prévision 2017'!G792</f>
        <v>0</v>
      </c>
    </row>
    <row r="791" spans="1:8" ht="30" customHeight="1">
      <c r="A791" s="165" t="s">
        <v>108</v>
      </c>
      <c r="B791" s="463">
        <v>1102</v>
      </c>
      <c r="C791" s="384" t="s">
        <v>361</v>
      </c>
      <c r="D791" s="365">
        <v>6433</v>
      </c>
      <c r="E791" s="368" t="s">
        <v>42</v>
      </c>
      <c r="F791" s="386">
        <f>'prévision 2017'!I793</f>
        <v>0</v>
      </c>
      <c r="G791" s="386">
        <f>'prévision 2017'!H793</f>
        <v>0</v>
      </c>
      <c r="H791" s="158">
        <f>'prévision 2017'!G793</f>
        <v>0</v>
      </c>
    </row>
    <row r="792" spans="1:8" ht="30" customHeight="1">
      <c r="A792" s="165" t="s">
        <v>108</v>
      </c>
      <c r="B792" s="463">
        <v>1102</v>
      </c>
      <c r="C792" s="384" t="s">
        <v>361</v>
      </c>
      <c r="D792" s="365">
        <v>2171</v>
      </c>
      <c r="E792" s="368" t="s">
        <v>284</v>
      </c>
      <c r="F792" s="386">
        <f>'prévision 2017'!I794</f>
        <v>9000000</v>
      </c>
      <c r="G792" s="386">
        <f>'prévision 2017'!H794</f>
        <v>0</v>
      </c>
      <c r="H792" s="158">
        <f>'prévision 2017'!G794</f>
        <v>9000000</v>
      </c>
    </row>
    <row r="793" spans="1:8" ht="30" customHeight="1">
      <c r="A793" s="165" t="s">
        <v>108</v>
      </c>
      <c r="B793" s="463">
        <v>1102</v>
      </c>
      <c r="C793" s="384" t="s">
        <v>361</v>
      </c>
      <c r="D793" s="365">
        <v>2124</v>
      </c>
      <c r="E793" s="368" t="s">
        <v>578</v>
      </c>
      <c r="F793" s="386">
        <f>'prévision 2017'!I795</f>
        <v>0</v>
      </c>
      <c r="G793" s="386">
        <f>'prévision 2017'!H795</f>
        <v>0</v>
      </c>
      <c r="H793" s="158">
        <f>'prévision 2017'!G795</f>
        <v>0</v>
      </c>
    </row>
    <row r="794" spans="1:8" ht="30" customHeight="1">
      <c r="A794" s="165" t="s">
        <v>108</v>
      </c>
      <c r="B794" s="463">
        <v>1102</v>
      </c>
      <c r="C794" s="412" t="s">
        <v>496</v>
      </c>
      <c r="D794" s="379" t="s">
        <v>463</v>
      </c>
      <c r="F794" s="520">
        <f>SUM(F785:F792)</f>
        <v>37320800</v>
      </c>
      <c r="G794" s="520">
        <f>SUM(G785:G792)</f>
        <v>7905332.88</v>
      </c>
      <c r="H794" s="414">
        <f>SUM(H785:H792)</f>
        <v>37320800</v>
      </c>
    </row>
    <row r="795" spans="1:7" ht="30" customHeight="1">
      <c r="A795" s="165" t="s">
        <v>108</v>
      </c>
      <c r="B795" s="463">
        <v>1103</v>
      </c>
      <c r="C795" s="410" t="s">
        <v>541</v>
      </c>
      <c r="D795" s="434"/>
      <c r="E795" s="434"/>
      <c r="F795" s="386"/>
      <c r="G795" s="596"/>
    </row>
    <row r="796" spans="1:8" ht="30" customHeight="1">
      <c r="A796" s="165" t="s">
        <v>108</v>
      </c>
      <c r="B796" s="463">
        <v>1103</v>
      </c>
      <c r="C796" s="384" t="s">
        <v>486</v>
      </c>
      <c r="D796" s="368">
        <v>6611</v>
      </c>
      <c r="E796" s="368" t="s">
        <v>6</v>
      </c>
      <c r="F796" s="386">
        <f>'prévision 2017'!I798</f>
        <v>12432396</v>
      </c>
      <c r="G796" s="386">
        <f>'prévision 2017'!H798</f>
        <v>11250567.32</v>
      </c>
      <c r="H796" s="522">
        <f>'prévision 2017'!G798</f>
        <v>12432396</v>
      </c>
    </row>
    <row r="797" spans="1:8" ht="30" customHeight="1">
      <c r="A797" s="165" t="s">
        <v>108</v>
      </c>
      <c r="B797" s="463">
        <v>1103</v>
      </c>
      <c r="C797" s="384" t="s">
        <v>486</v>
      </c>
      <c r="D797" s="368">
        <v>60100</v>
      </c>
      <c r="E797" s="368" t="s">
        <v>7</v>
      </c>
      <c r="F797" s="386">
        <f>'prévision 2017'!I799</f>
        <v>819136.9619999999</v>
      </c>
      <c r="G797" s="386">
        <f>'prévision 2017'!H799</f>
        <v>0</v>
      </c>
      <c r="H797" s="158">
        <f>'prévision 2017'!G799</f>
        <v>819136.9619999999</v>
      </c>
    </row>
    <row r="798" spans="1:8" ht="30" customHeight="1">
      <c r="A798" s="165" t="s">
        <v>108</v>
      </c>
      <c r="B798" s="463">
        <v>1103</v>
      </c>
      <c r="C798" s="384" t="s">
        <v>486</v>
      </c>
      <c r="D798" s="368">
        <v>6122</v>
      </c>
      <c r="E798" s="389" t="s">
        <v>582</v>
      </c>
      <c r="F798" s="386">
        <f>'prévision 2017'!I800</f>
        <v>564000</v>
      </c>
      <c r="G798" s="386">
        <f>'prévision 2017'!H800</f>
        <v>0</v>
      </c>
      <c r="H798" s="158">
        <f>'prévision 2017'!G800</f>
        <v>564000</v>
      </c>
    </row>
    <row r="799" spans="1:8" ht="30" customHeight="1">
      <c r="A799" s="165" t="s">
        <v>108</v>
      </c>
      <c r="B799" s="463">
        <v>1103</v>
      </c>
      <c r="C799" s="384" t="s">
        <v>486</v>
      </c>
      <c r="D799" s="368">
        <v>6175</v>
      </c>
      <c r="E799" s="368" t="s">
        <v>13</v>
      </c>
      <c r="F799" s="386">
        <f>'prévision 2017'!I801</f>
        <v>470000</v>
      </c>
      <c r="G799" s="386">
        <f>'prévision 2017'!H801</f>
        <v>0</v>
      </c>
      <c r="H799" s="158">
        <f>'prévision 2017'!G801</f>
        <v>470000</v>
      </c>
    </row>
    <row r="800" spans="1:8" ht="30" customHeight="1">
      <c r="A800" s="165" t="s">
        <v>108</v>
      </c>
      <c r="B800" s="463">
        <v>1103</v>
      </c>
      <c r="C800" s="384" t="s">
        <v>486</v>
      </c>
      <c r="D800" s="379" t="s">
        <v>463</v>
      </c>
      <c r="F800" s="520">
        <f>SUM(F796:F799)</f>
        <v>14285532.962</v>
      </c>
      <c r="G800" s="520">
        <f>SUM(G796:G799)</f>
        <v>11250567.32</v>
      </c>
      <c r="H800" s="414">
        <f>SUM(H796:H799)</f>
        <v>14285532.962</v>
      </c>
    </row>
    <row r="801" spans="1:8" ht="30" customHeight="1">
      <c r="A801" s="165" t="s">
        <v>108</v>
      </c>
      <c r="B801" s="463">
        <v>1005</v>
      </c>
      <c r="C801" s="384" t="s">
        <v>488</v>
      </c>
      <c r="D801" s="464" t="s">
        <v>117</v>
      </c>
      <c r="E801" s="158"/>
      <c r="F801" s="386"/>
      <c r="G801" s="596"/>
      <c r="H801" s="468"/>
    </row>
    <row r="802" spans="1:8" ht="30" customHeight="1">
      <c r="A802" s="165" t="s">
        <v>108</v>
      </c>
      <c r="B802" s="463">
        <v>1005</v>
      </c>
      <c r="C802" s="384" t="s">
        <v>488</v>
      </c>
      <c r="D802" s="365">
        <v>6611</v>
      </c>
      <c r="E802" s="368" t="s">
        <v>6</v>
      </c>
      <c r="F802" s="386">
        <f>'prévision 2017'!I804</f>
        <v>15896725</v>
      </c>
      <c r="G802" s="386">
        <f>'prévision 2017'!H804</f>
        <v>10614400.08</v>
      </c>
      <c r="H802" s="469">
        <f>'prévision 2017'!G804</f>
        <v>15896725</v>
      </c>
    </row>
    <row r="803" spans="1:8" ht="30" customHeight="1">
      <c r="A803" s="165" t="s">
        <v>108</v>
      </c>
      <c r="B803" s="463">
        <v>1005</v>
      </c>
      <c r="C803" s="384" t="s">
        <v>488</v>
      </c>
      <c r="D803" s="365">
        <v>60100</v>
      </c>
      <c r="E803" s="368" t="s">
        <v>7</v>
      </c>
      <c r="F803" s="386">
        <f>'prévision 2017'!I805</f>
        <v>553284</v>
      </c>
      <c r="G803" s="386">
        <f>'prévision 2017'!H805</f>
        <v>0</v>
      </c>
      <c r="H803" s="469">
        <f>'prévision 2017'!G805</f>
        <v>553284</v>
      </c>
    </row>
    <row r="804" spans="1:8" ht="30" customHeight="1">
      <c r="A804" s="165" t="s">
        <v>108</v>
      </c>
      <c r="B804" s="463">
        <v>1005</v>
      </c>
      <c r="C804" s="384" t="s">
        <v>488</v>
      </c>
      <c r="D804" s="365">
        <v>60101</v>
      </c>
      <c r="E804" s="368" t="s">
        <v>264</v>
      </c>
      <c r="F804" s="386">
        <f>'prévision 2017'!I806</f>
        <v>553284</v>
      </c>
      <c r="G804" s="386">
        <f>'prévision 2017'!H806</f>
        <v>0</v>
      </c>
      <c r="H804" s="469">
        <f>'prévision 2017'!G806</f>
        <v>553284</v>
      </c>
    </row>
    <row r="805" spans="1:8" ht="30" customHeight="1">
      <c r="A805" s="165" t="s">
        <v>108</v>
      </c>
      <c r="B805" s="463">
        <v>1005</v>
      </c>
      <c r="C805" s="384" t="s">
        <v>488</v>
      </c>
      <c r="D805" s="365">
        <v>6122</v>
      </c>
      <c r="E805" s="389" t="s">
        <v>582</v>
      </c>
      <c r="F805" s="386">
        <f>'prévision 2017'!I807</f>
        <v>0</v>
      </c>
      <c r="G805" s="386">
        <f>'prévision 2017'!H807</f>
        <v>0</v>
      </c>
      <c r="H805" s="469">
        <f>'prévision 2017'!G807</f>
        <v>0</v>
      </c>
    </row>
    <row r="806" spans="1:8" ht="30" customHeight="1">
      <c r="A806" s="165" t="s">
        <v>108</v>
      </c>
      <c r="B806" s="463">
        <v>1005</v>
      </c>
      <c r="C806" s="384" t="s">
        <v>488</v>
      </c>
      <c r="D806" s="365">
        <v>2125</v>
      </c>
      <c r="E806" s="368" t="s">
        <v>577</v>
      </c>
      <c r="F806" s="386">
        <f>'prévision 2017'!I808</f>
        <v>0</v>
      </c>
      <c r="G806" s="386">
        <f>'prévision 2017'!H808</f>
        <v>0</v>
      </c>
      <c r="H806" s="469">
        <f>'prévision 2017'!G808</f>
        <v>0</v>
      </c>
    </row>
    <row r="807" spans="1:8" ht="30" customHeight="1">
      <c r="A807" s="165" t="s">
        <v>108</v>
      </c>
      <c r="B807" s="463">
        <v>1005</v>
      </c>
      <c r="C807" s="384" t="s">
        <v>488</v>
      </c>
      <c r="D807" s="379" t="s">
        <v>463</v>
      </c>
      <c r="E807" s="374"/>
      <c r="F807" s="520">
        <f>SUM(F802:F805)</f>
        <v>17003293</v>
      </c>
      <c r="G807" s="520">
        <f>SUM(G802:G805)</f>
        <v>10614400.08</v>
      </c>
      <c r="H807" s="468">
        <f>SUM(H802:H805)</f>
        <v>17003293</v>
      </c>
    </row>
    <row r="808" spans="1:8" ht="30" customHeight="1">
      <c r="A808" s="165" t="s">
        <v>108</v>
      </c>
      <c r="B808" s="463" t="s">
        <v>546</v>
      </c>
      <c r="C808" s="410" t="s">
        <v>295</v>
      </c>
      <c r="D808" s="447"/>
      <c r="E808" s="447"/>
      <c r="F808" s="386"/>
      <c r="G808" s="596"/>
      <c r="H808" s="468"/>
    </row>
    <row r="809" spans="1:8" ht="30" customHeight="1">
      <c r="A809" s="165" t="s">
        <v>108</v>
      </c>
      <c r="B809" s="463" t="s">
        <v>546</v>
      </c>
      <c r="C809" s="384" t="s">
        <v>495</v>
      </c>
      <c r="D809" s="365">
        <v>6611</v>
      </c>
      <c r="E809" s="368" t="s">
        <v>6</v>
      </c>
      <c r="F809" s="386">
        <f>'prévision 2017'!I811</f>
        <v>11616000</v>
      </c>
      <c r="G809" s="386">
        <f>'prévision 2017'!H811</f>
        <v>9960267.270000001</v>
      </c>
      <c r="H809" s="469">
        <f>'prévision 2017'!G811</f>
        <v>11616000</v>
      </c>
    </row>
    <row r="810" spans="1:8" ht="30" customHeight="1">
      <c r="A810" s="165" t="s">
        <v>108</v>
      </c>
      <c r="B810" s="463" t="s">
        <v>546</v>
      </c>
      <c r="C810" s="384" t="s">
        <v>495</v>
      </c>
      <c r="D810" s="365">
        <v>60100</v>
      </c>
      <c r="E810" s="368" t="s">
        <v>7</v>
      </c>
      <c r="F810" s="386">
        <f>'prévision 2017'!I812</f>
        <v>752000</v>
      </c>
      <c r="G810" s="386">
        <f>'prévision 2017'!H812</f>
        <v>564000</v>
      </c>
      <c r="H810" s="469">
        <f>'prévision 2017'!G812</f>
        <v>752000</v>
      </c>
    </row>
    <row r="811" spans="1:8" ht="30" customHeight="1">
      <c r="A811" s="165" t="s">
        <v>108</v>
      </c>
      <c r="B811" s="463" t="s">
        <v>546</v>
      </c>
      <c r="C811" s="384" t="s">
        <v>495</v>
      </c>
      <c r="D811" s="365">
        <v>60101</v>
      </c>
      <c r="E811" s="368" t="s">
        <v>264</v>
      </c>
      <c r="F811" s="386">
        <f>'prévision 2017'!I813</f>
        <v>564000</v>
      </c>
      <c r="G811" s="386">
        <f>'prévision 2017'!H813</f>
        <v>423000</v>
      </c>
      <c r="H811" s="469">
        <f>'prévision 2017'!G813</f>
        <v>564000</v>
      </c>
    </row>
    <row r="812" spans="1:8" ht="30" customHeight="1">
      <c r="A812" s="165" t="s">
        <v>108</v>
      </c>
      <c r="B812" s="463" t="s">
        <v>546</v>
      </c>
      <c r="C812" s="384" t="s">
        <v>495</v>
      </c>
      <c r="D812" s="365">
        <v>6122</v>
      </c>
      <c r="E812" s="389" t="s">
        <v>582</v>
      </c>
      <c r="F812" s="386">
        <f>'prévision 2017'!I814</f>
        <v>470000</v>
      </c>
      <c r="G812" s="386">
        <f>'prévision 2017'!H814</f>
        <v>352500</v>
      </c>
      <c r="H812" s="469">
        <f>'prévision 2017'!G814</f>
        <v>470000</v>
      </c>
    </row>
    <row r="813" spans="1:8" ht="30" customHeight="1">
      <c r="A813" s="165" t="s">
        <v>108</v>
      </c>
      <c r="B813" s="463">
        <v>1015</v>
      </c>
      <c r="C813" s="384" t="s">
        <v>495</v>
      </c>
      <c r="D813" s="365">
        <v>2128</v>
      </c>
      <c r="E813" s="368" t="s">
        <v>588</v>
      </c>
      <c r="F813" s="386">
        <f>'prévision 2017'!I815</f>
        <v>500000000</v>
      </c>
      <c r="G813" s="386">
        <f>'prévision 2017'!H815</f>
        <v>0</v>
      </c>
      <c r="H813" s="522">
        <f>'prévision 2017'!G815</f>
        <v>500000000</v>
      </c>
    </row>
    <row r="814" spans="1:8" ht="30" customHeight="1">
      <c r="A814" s="165" t="s">
        <v>108</v>
      </c>
      <c r="B814" s="463" t="s">
        <v>546</v>
      </c>
      <c r="C814" s="384" t="s">
        <v>495</v>
      </c>
      <c r="D814" s="379" t="s">
        <v>463</v>
      </c>
      <c r="E814" s="447"/>
      <c r="F814" s="520">
        <f>SUM(F809:F813)</f>
        <v>513402000</v>
      </c>
      <c r="G814" s="520">
        <f>SUM(G809:G813)</f>
        <v>11299767.270000001</v>
      </c>
      <c r="H814" s="468">
        <f>SUM(H809:H813)</f>
        <v>513402000</v>
      </c>
    </row>
    <row r="815" spans="1:8" ht="30" customHeight="1">
      <c r="A815" s="165" t="s">
        <v>108</v>
      </c>
      <c r="B815" s="463" t="s">
        <v>544</v>
      </c>
      <c r="C815" s="410" t="s">
        <v>120</v>
      </c>
      <c r="D815" s="447"/>
      <c r="E815" s="447"/>
      <c r="F815" s="386"/>
      <c r="G815" s="596"/>
      <c r="H815" s="468"/>
    </row>
    <row r="816" spans="1:8" ht="30" customHeight="1">
      <c r="A816" s="165" t="s">
        <v>108</v>
      </c>
      <c r="B816" s="463" t="s">
        <v>544</v>
      </c>
      <c r="C816" s="384" t="s">
        <v>492</v>
      </c>
      <c r="D816" s="447">
        <v>6311</v>
      </c>
      <c r="E816" s="447" t="s">
        <v>271</v>
      </c>
      <c r="F816" s="386">
        <f>'prévision 2017'!I818</f>
        <v>0</v>
      </c>
      <c r="G816" s="386">
        <f>'prévision 2017'!H818</f>
        <v>0</v>
      </c>
      <c r="H816" s="468"/>
    </row>
    <row r="817" spans="1:8" ht="30" customHeight="1">
      <c r="A817" s="165" t="s">
        <v>108</v>
      </c>
      <c r="B817" s="463" t="s">
        <v>544</v>
      </c>
      <c r="C817" s="384" t="s">
        <v>492</v>
      </c>
      <c r="D817" s="379" t="s">
        <v>463</v>
      </c>
      <c r="E817" s="447"/>
      <c r="F817" s="520">
        <f>F816</f>
        <v>0</v>
      </c>
      <c r="G817" s="520">
        <f>G816</f>
        <v>0</v>
      </c>
      <c r="H817" s="520">
        <f>H816</f>
        <v>0</v>
      </c>
    </row>
    <row r="818" spans="1:8" ht="30" customHeight="1">
      <c r="A818" s="165" t="s">
        <v>108</v>
      </c>
      <c r="B818" s="463" t="s">
        <v>450</v>
      </c>
      <c r="C818" s="410" t="s">
        <v>114</v>
      </c>
      <c r="D818" s="447"/>
      <c r="E818" s="447"/>
      <c r="F818" s="386"/>
      <c r="G818" s="386"/>
      <c r="H818" s="468"/>
    </row>
    <row r="819" spans="1:8" ht="30" customHeight="1">
      <c r="A819" s="165" t="s">
        <v>108</v>
      </c>
      <c r="B819" s="463" t="s">
        <v>450</v>
      </c>
      <c r="C819" s="384" t="s">
        <v>486</v>
      </c>
      <c r="D819" s="365">
        <v>6611</v>
      </c>
      <c r="E819" s="368" t="s">
        <v>6</v>
      </c>
      <c r="F819" s="386">
        <f>'prévision 2017'!I821</f>
        <v>15682400</v>
      </c>
      <c r="G819" s="386">
        <f>'prévision 2017'!H821</f>
        <v>15252733.560000002</v>
      </c>
      <c r="H819" s="469">
        <f>'prévision 2017'!G821</f>
        <v>15682400</v>
      </c>
    </row>
    <row r="820" spans="1:8" ht="30" customHeight="1">
      <c r="A820" s="165" t="s">
        <v>108</v>
      </c>
      <c r="B820" s="463" t="s">
        <v>450</v>
      </c>
      <c r="C820" s="384" t="s">
        <v>486</v>
      </c>
      <c r="D820" s="365">
        <v>60100</v>
      </c>
      <c r="E820" s="368" t="s">
        <v>7</v>
      </c>
      <c r="F820" s="386">
        <f>'prévision 2017'!I822</f>
        <v>564000</v>
      </c>
      <c r="G820" s="386">
        <f>'prévision 2017'!H822</f>
        <v>0</v>
      </c>
      <c r="H820" s="469">
        <f>'prévision 2017'!G822</f>
        <v>564000</v>
      </c>
    </row>
    <row r="821" spans="1:8" ht="30" customHeight="1">
      <c r="A821" s="165" t="s">
        <v>108</v>
      </c>
      <c r="B821" s="463" t="s">
        <v>450</v>
      </c>
      <c r="C821" s="384" t="s">
        <v>486</v>
      </c>
      <c r="D821" s="365">
        <v>60101</v>
      </c>
      <c r="E821" s="368" t="s">
        <v>297</v>
      </c>
      <c r="F821" s="386">
        <f>'prévision 2017'!I823</f>
        <v>0</v>
      </c>
      <c r="G821" s="386">
        <f>'prévision 2017'!H823</f>
        <v>0</v>
      </c>
      <c r="H821" s="522">
        <f>'prévision 2017'!G823</f>
        <v>0</v>
      </c>
    </row>
    <row r="822" spans="1:8" ht="30" customHeight="1">
      <c r="A822" s="165" t="s">
        <v>108</v>
      </c>
      <c r="B822" s="463" t="s">
        <v>450</v>
      </c>
      <c r="C822" s="384" t="s">
        <v>486</v>
      </c>
      <c r="D822" s="365">
        <v>6122</v>
      </c>
      <c r="E822" s="389" t="s">
        <v>582</v>
      </c>
      <c r="F822" s="386">
        <f>'prévision 2017'!I824</f>
        <v>376000</v>
      </c>
      <c r="G822" s="386">
        <f>'prévision 2017'!H824</f>
        <v>0</v>
      </c>
      <c r="H822" s="522">
        <f>'prévision 2017'!G824</f>
        <v>376000</v>
      </c>
    </row>
    <row r="823" spans="1:8" ht="30" customHeight="1">
      <c r="A823" s="165" t="s">
        <v>108</v>
      </c>
      <c r="B823" s="463" t="s">
        <v>450</v>
      </c>
      <c r="C823" s="384" t="s">
        <v>486</v>
      </c>
      <c r="D823" s="365">
        <v>2127</v>
      </c>
      <c r="E823" s="368" t="s">
        <v>650</v>
      </c>
      <c r="F823" s="386">
        <f>'prévision 2017'!I825</f>
        <v>0</v>
      </c>
      <c r="G823" s="386">
        <f>'prévision 2017'!H825</f>
        <v>0</v>
      </c>
      <c r="H823" s="522">
        <f>'prévision 2017'!G825</f>
        <v>5000000000</v>
      </c>
    </row>
    <row r="824" spans="1:8" ht="30" customHeight="1">
      <c r="A824" s="165" t="s">
        <v>108</v>
      </c>
      <c r="B824" s="463" t="s">
        <v>450</v>
      </c>
      <c r="C824" s="384" t="s">
        <v>486</v>
      </c>
      <c r="D824" s="365">
        <v>2125</v>
      </c>
      <c r="E824" s="366" t="s">
        <v>589</v>
      </c>
      <c r="F824" s="386">
        <f>'prévision 2017'!I826</f>
        <v>0</v>
      </c>
      <c r="G824" s="386">
        <f>'prévision 2017'!H826</f>
        <v>0</v>
      </c>
      <c r="H824" s="469"/>
    </row>
    <row r="825" spans="1:8" ht="30" customHeight="1">
      <c r="A825" s="165" t="s">
        <v>108</v>
      </c>
      <c r="B825" s="463" t="s">
        <v>450</v>
      </c>
      <c r="C825" s="384" t="s">
        <v>486</v>
      </c>
      <c r="D825" s="379" t="s">
        <v>463</v>
      </c>
      <c r="E825" s="447"/>
      <c r="F825" s="520">
        <f>SUM(F819:F824)</f>
        <v>16622400</v>
      </c>
      <c r="G825" s="520">
        <f>SUM(G819:G824)</f>
        <v>15252733.560000002</v>
      </c>
      <c r="H825" s="468">
        <f>SUM(H819:H824)</f>
        <v>5016622400</v>
      </c>
    </row>
    <row r="826" spans="1:8" ht="30" customHeight="1">
      <c r="A826" s="165" t="s">
        <v>108</v>
      </c>
      <c r="B826" s="463" t="s">
        <v>451</v>
      </c>
      <c r="C826" s="410" t="s">
        <v>231</v>
      </c>
      <c r="D826" s="447"/>
      <c r="E826" s="447"/>
      <c r="F826" s="386"/>
      <c r="G826" s="596"/>
      <c r="H826" s="468"/>
    </row>
    <row r="827" spans="1:8" ht="30" customHeight="1">
      <c r="A827" s="165" t="s">
        <v>108</v>
      </c>
      <c r="B827" s="463" t="s">
        <v>451</v>
      </c>
      <c r="C827" s="384" t="s">
        <v>486</v>
      </c>
      <c r="D827" s="447">
        <v>6173</v>
      </c>
      <c r="E827" s="447" t="s">
        <v>19</v>
      </c>
      <c r="F827" s="386">
        <f>'prévision 2017'!I829</f>
        <v>0</v>
      </c>
      <c r="G827" s="386">
        <f>'prévision 2017'!H829</f>
        <v>47376000</v>
      </c>
      <c r="H827" s="469">
        <f>'prévision 2017'!G829</f>
        <v>94752000</v>
      </c>
    </row>
    <row r="828" spans="1:8" ht="30" customHeight="1">
      <c r="A828" s="165" t="s">
        <v>108</v>
      </c>
      <c r="B828" s="463" t="s">
        <v>451</v>
      </c>
      <c r="C828" s="384" t="s">
        <v>486</v>
      </c>
      <c r="D828" s="447">
        <v>2128</v>
      </c>
      <c r="E828" s="447" t="s">
        <v>575</v>
      </c>
      <c r="F828" s="386">
        <f>'prévision 2017'!I831</f>
        <v>0</v>
      </c>
      <c r="G828" s="386">
        <f>'prévision 2017'!H830</f>
        <v>0</v>
      </c>
      <c r="H828" s="386">
        <f>'prévision 2017'!G831</f>
        <v>0</v>
      </c>
    </row>
    <row r="829" spans="1:8" ht="30" customHeight="1">
      <c r="A829" s="165" t="s">
        <v>108</v>
      </c>
      <c r="B829" s="463">
        <v>908</v>
      </c>
      <c r="C829" s="384" t="s">
        <v>486</v>
      </c>
      <c r="D829" s="479">
        <v>6311</v>
      </c>
      <c r="E829" s="368" t="s">
        <v>271</v>
      </c>
      <c r="F829" s="386">
        <f>'prévision 2017'!I830</f>
        <v>94752000</v>
      </c>
      <c r="G829" s="386">
        <f>'prévision 2017'!H831</f>
        <v>0</v>
      </c>
      <c r="H829" s="596"/>
    </row>
    <row r="830" spans="1:8" ht="30" customHeight="1">
      <c r="A830" s="165" t="s">
        <v>108</v>
      </c>
      <c r="B830" s="463" t="s">
        <v>451</v>
      </c>
      <c r="C830" s="384" t="s">
        <v>486</v>
      </c>
      <c r="D830" s="379" t="s">
        <v>463</v>
      </c>
      <c r="E830" s="447"/>
      <c r="F830" s="520">
        <f>F827+F828+F829</f>
        <v>94752000</v>
      </c>
      <c r="G830" s="520">
        <f>G827+G828+G829</f>
        <v>47376000</v>
      </c>
      <c r="H830" s="468">
        <f>H827+H828</f>
        <v>94752000</v>
      </c>
    </row>
    <row r="831" spans="1:8" ht="30" customHeight="1">
      <c r="A831" s="165" t="s">
        <v>108</v>
      </c>
      <c r="B831" s="463" t="s">
        <v>428</v>
      </c>
      <c r="C831" s="410" t="s">
        <v>548</v>
      </c>
      <c r="D831" s="447"/>
      <c r="E831" s="447"/>
      <c r="F831" s="386"/>
      <c r="G831" s="596"/>
      <c r="H831" s="468"/>
    </row>
    <row r="832" spans="1:8" ht="30" customHeight="1">
      <c r="A832" s="165" t="s">
        <v>108</v>
      </c>
      <c r="B832" s="463" t="s">
        <v>428</v>
      </c>
      <c r="C832" s="384" t="s">
        <v>361</v>
      </c>
      <c r="D832" s="365">
        <v>60100</v>
      </c>
      <c r="E832" s="368" t="s">
        <v>7</v>
      </c>
      <c r="F832" s="386">
        <f>'prévision 2017'!I834</f>
        <v>0</v>
      </c>
      <c r="G832" s="386">
        <f>'prévision 2017'!H834</f>
        <v>0</v>
      </c>
      <c r="H832" s="468">
        <f>'prévision 2017'!G834</f>
        <v>0</v>
      </c>
    </row>
    <row r="833" spans="1:8" ht="30" customHeight="1">
      <c r="A833" s="165" t="s">
        <v>108</v>
      </c>
      <c r="B833" s="463" t="s">
        <v>428</v>
      </c>
      <c r="C833" s="384" t="s">
        <v>361</v>
      </c>
      <c r="D833" s="365">
        <v>6122</v>
      </c>
      <c r="E833" s="389" t="s">
        <v>582</v>
      </c>
      <c r="F833" s="386">
        <f>'prévision 2017'!I835</f>
        <v>0</v>
      </c>
      <c r="G833" s="386">
        <f>'prévision 2017'!H835</f>
        <v>0</v>
      </c>
      <c r="H833" s="468">
        <f>'prévision 2017'!G835</f>
        <v>0</v>
      </c>
    </row>
    <row r="834" spans="1:8" ht="30" customHeight="1">
      <c r="A834" s="165" t="s">
        <v>108</v>
      </c>
      <c r="B834" s="463" t="s">
        <v>428</v>
      </c>
      <c r="C834" s="384" t="s">
        <v>361</v>
      </c>
      <c r="D834" s="365">
        <v>6111</v>
      </c>
      <c r="E834" s="390" t="s">
        <v>549</v>
      </c>
      <c r="F834" s="386">
        <f>'prévision 2017'!I836</f>
        <v>0</v>
      </c>
      <c r="G834" s="386">
        <f>'prévision 2017'!H836</f>
        <v>0</v>
      </c>
      <c r="H834" s="468">
        <f>'prévision 2017'!G836</f>
        <v>0</v>
      </c>
    </row>
    <row r="835" spans="1:8" ht="30" customHeight="1">
      <c r="A835" s="165" t="s">
        <v>108</v>
      </c>
      <c r="B835" s="463" t="s">
        <v>428</v>
      </c>
      <c r="C835" s="384" t="s">
        <v>361</v>
      </c>
      <c r="D835" s="379" t="s">
        <v>463</v>
      </c>
      <c r="E835" s="447"/>
      <c r="F835" s="386">
        <f>SUM(F832:F834)</f>
        <v>0</v>
      </c>
      <c r="G835" s="386">
        <f>SUM(G832:G834)</f>
        <v>0</v>
      </c>
      <c r="H835" s="386">
        <f>SUM(H832:H834)</f>
        <v>0</v>
      </c>
    </row>
    <row r="836" spans="1:8" ht="30" customHeight="1">
      <c r="A836" s="165" t="s">
        <v>108</v>
      </c>
      <c r="B836" s="463" t="s">
        <v>429</v>
      </c>
      <c r="C836" s="410" t="s">
        <v>97</v>
      </c>
      <c r="D836" s="410"/>
      <c r="E836" s="447"/>
      <c r="F836" s="386"/>
      <c r="G836" s="386">
        <f>'prévision 2017'!H838</f>
        <v>0</v>
      </c>
      <c r="H836" s="468"/>
    </row>
    <row r="837" spans="1:8" ht="30" customHeight="1">
      <c r="A837" s="165" t="s">
        <v>108</v>
      </c>
      <c r="B837" s="463" t="s">
        <v>429</v>
      </c>
      <c r="C837" s="384" t="s">
        <v>361</v>
      </c>
      <c r="D837" s="365">
        <v>6611</v>
      </c>
      <c r="E837" s="368" t="s">
        <v>6</v>
      </c>
      <c r="F837" s="386">
        <f>'prévision 2017'!I839</f>
        <v>0</v>
      </c>
      <c r="G837" s="386">
        <f>'prévision 2017'!H839</f>
        <v>0</v>
      </c>
      <c r="H837" s="469">
        <f>'prévision 2017'!G839</f>
        <v>0</v>
      </c>
    </row>
    <row r="838" spans="1:8" ht="30" customHeight="1">
      <c r="A838" s="165" t="s">
        <v>108</v>
      </c>
      <c r="B838" s="463" t="s">
        <v>429</v>
      </c>
      <c r="C838" s="384" t="s">
        <v>361</v>
      </c>
      <c r="D838" s="365">
        <v>6311</v>
      </c>
      <c r="E838" s="368" t="s">
        <v>271</v>
      </c>
      <c r="F838" s="386">
        <f>'prévision 2017'!I840</f>
        <v>51000000</v>
      </c>
      <c r="G838" s="386">
        <f>'prévision 2017'!H840</f>
        <v>51000000</v>
      </c>
      <c r="H838" s="469">
        <f>'prévision 2017'!G840</f>
        <v>46000000</v>
      </c>
    </row>
    <row r="839" spans="1:8" ht="30" customHeight="1">
      <c r="A839" s="165" t="s">
        <v>108</v>
      </c>
      <c r="B839" s="463" t="s">
        <v>429</v>
      </c>
      <c r="C839" s="384" t="s">
        <v>361</v>
      </c>
      <c r="D839" s="365">
        <v>2121</v>
      </c>
      <c r="E839" s="366" t="s">
        <v>590</v>
      </c>
      <c r="F839" s="386">
        <f>'prévision 2017'!I841</f>
        <v>0</v>
      </c>
      <c r="G839" s="386">
        <f>'prévision 2017'!H841</f>
        <v>0</v>
      </c>
      <c r="H839" s="469"/>
    </row>
    <row r="840" spans="1:8" ht="30" customHeight="1">
      <c r="A840" s="165" t="s">
        <v>108</v>
      </c>
      <c r="B840" s="463" t="s">
        <v>429</v>
      </c>
      <c r="C840" s="384" t="s">
        <v>361</v>
      </c>
      <c r="D840" s="379" t="s">
        <v>463</v>
      </c>
      <c r="E840" s="447"/>
      <c r="F840" s="468">
        <f>SUM(F837:F839)</f>
        <v>51000000</v>
      </c>
      <c r="G840" s="468">
        <f>SUM(G837:G839)</f>
        <v>51000000</v>
      </c>
      <c r="H840" s="468">
        <f>SUM(H837:H839)</f>
        <v>46000000</v>
      </c>
    </row>
    <row r="841" spans="1:8" ht="30" customHeight="1">
      <c r="A841" s="165" t="s">
        <v>108</v>
      </c>
      <c r="B841" s="463" t="s">
        <v>430</v>
      </c>
      <c r="C841" s="410" t="s">
        <v>317</v>
      </c>
      <c r="D841" s="447"/>
      <c r="E841" s="447"/>
      <c r="F841" s="386"/>
      <c r="G841" s="596"/>
      <c r="H841" s="468"/>
    </row>
    <row r="842" spans="1:8" ht="30" customHeight="1">
      <c r="A842" s="165" t="s">
        <v>108</v>
      </c>
      <c r="B842" s="463" t="s">
        <v>430</v>
      </c>
      <c r="C842" s="384" t="s">
        <v>361</v>
      </c>
      <c r="D842" s="365">
        <v>6611</v>
      </c>
      <c r="E842" s="368" t="s">
        <v>6</v>
      </c>
      <c r="F842" s="386">
        <f>'prévision 2017'!I844</f>
        <v>73923196</v>
      </c>
      <c r="G842" s="386">
        <f>'prévision 2017'!H844</f>
        <v>71720421.57</v>
      </c>
      <c r="H842" s="469">
        <f>'prévision 2017'!G844</f>
        <v>73923196</v>
      </c>
    </row>
    <row r="843" spans="1:8" ht="30" customHeight="1">
      <c r="A843" s="165" t="s">
        <v>108</v>
      </c>
      <c r="B843" s="463" t="s">
        <v>430</v>
      </c>
      <c r="C843" s="384" t="s">
        <v>361</v>
      </c>
      <c r="D843" s="365">
        <v>6682</v>
      </c>
      <c r="E843" s="368" t="s">
        <v>262</v>
      </c>
      <c r="F843" s="386">
        <f>'prévision 2017'!I845</f>
        <v>0</v>
      </c>
      <c r="G843" s="386">
        <f>'prévision 2017'!H845</f>
        <v>0</v>
      </c>
      <c r="H843" s="469">
        <f>'prévision 2017'!G845</f>
        <v>0</v>
      </c>
    </row>
    <row r="844" spans="1:8" ht="30" customHeight="1">
      <c r="A844" s="165" t="s">
        <v>108</v>
      </c>
      <c r="B844" s="463" t="s">
        <v>430</v>
      </c>
      <c r="C844" s="384" t="s">
        <v>361</v>
      </c>
      <c r="D844" s="365">
        <v>60100</v>
      </c>
      <c r="E844" s="368" t="s">
        <v>34</v>
      </c>
      <c r="F844" s="386">
        <f>'prévision 2017'!I846</f>
        <v>1164000</v>
      </c>
      <c r="G844" s="386">
        <f>'prévision 2017'!H846</f>
        <v>0</v>
      </c>
      <c r="H844" s="469">
        <f>'prévision 2017'!G846</f>
        <v>1164000</v>
      </c>
    </row>
    <row r="845" spans="1:8" ht="30" customHeight="1">
      <c r="A845" s="165" t="s">
        <v>108</v>
      </c>
      <c r="B845" s="463" t="s">
        <v>430</v>
      </c>
      <c r="C845" s="384" t="s">
        <v>361</v>
      </c>
      <c r="D845" s="365">
        <v>60101</v>
      </c>
      <c r="E845" s="368" t="s">
        <v>264</v>
      </c>
      <c r="F845" s="386">
        <f>'prévision 2017'!I847</f>
        <v>0</v>
      </c>
      <c r="G845" s="386">
        <f>'prévision 2017'!H847</f>
        <v>0</v>
      </c>
      <c r="H845" s="469">
        <f>'prévision 2017'!G847</f>
        <v>0</v>
      </c>
    </row>
    <row r="846" spans="1:8" ht="30" customHeight="1">
      <c r="A846" s="165" t="s">
        <v>108</v>
      </c>
      <c r="B846" s="463" t="s">
        <v>430</v>
      </c>
      <c r="C846" s="384" t="s">
        <v>361</v>
      </c>
      <c r="D846" s="365">
        <v>6041</v>
      </c>
      <c r="E846" s="368" t="s">
        <v>8</v>
      </c>
      <c r="F846" s="386">
        <f>'prévision 2017'!I848</f>
        <v>0</v>
      </c>
      <c r="G846" s="386">
        <f>'prévision 2017'!H848</f>
        <v>0</v>
      </c>
      <c r="H846" s="469">
        <f>'prévision 2017'!G848</f>
        <v>0</v>
      </c>
    </row>
    <row r="847" spans="1:8" ht="30" customHeight="1">
      <c r="A847" s="165" t="s">
        <v>108</v>
      </c>
      <c r="B847" s="463" t="s">
        <v>430</v>
      </c>
      <c r="C847" s="384" t="s">
        <v>361</v>
      </c>
      <c r="D847" s="365">
        <v>6122</v>
      </c>
      <c r="E847" s="389" t="s">
        <v>582</v>
      </c>
      <c r="F847" s="386">
        <f>'prévision 2017'!I849</f>
        <v>500000</v>
      </c>
      <c r="G847" s="386">
        <f>'prévision 2017'!H849</f>
        <v>0</v>
      </c>
      <c r="H847" s="469">
        <f>'prévision 2017'!G849</f>
        <v>500000</v>
      </c>
    </row>
    <row r="848" spans="1:8" ht="30" customHeight="1">
      <c r="A848" s="165" t="s">
        <v>108</v>
      </c>
      <c r="B848" s="463" t="s">
        <v>430</v>
      </c>
      <c r="C848" s="384" t="s">
        <v>361</v>
      </c>
      <c r="D848" s="365">
        <v>6133</v>
      </c>
      <c r="E848" s="368" t="s">
        <v>243</v>
      </c>
      <c r="F848" s="386">
        <f>'prévision 2017'!I850</f>
        <v>0</v>
      </c>
      <c r="G848" s="386">
        <f>'prévision 2017'!H850</f>
        <v>0</v>
      </c>
      <c r="H848" s="469">
        <f>'prévision 2017'!G850</f>
        <v>0</v>
      </c>
    </row>
    <row r="849" spans="1:8" ht="30" customHeight="1">
      <c r="A849" s="165" t="s">
        <v>108</v>
      </c>
      <c r="B849" s="463" t="s">
        <v>430</v>
      </c>
      <c r="C849" s="384" t="s">
        <v>361</v>
      </c>
      <c r="D849" s="365">
        <v>6152</v>
      </c>
      <c r="E849" s="368" t="s">
        <v>256</v>
      </c>
      <c r="F849" s="386">
        <f>'prévision 2017'!I851</f>
        <v>0</v>
      </c>
      <c r="G849" s="386">
        <f>'prévision 2017'!H851</f>
        <v>0</v>
      </c>
      <c r="H849" s="469">
        <f>'prévision 2017'!G851</f>
        <v>0</v>
      </c>
    </row>
    <row r="850" spans="1:8" ht="30" customHeight="1">
      <c r="A850" s="165" t="s">
        <v>108</v>
      </c>
      <c r="B850" s="463" t="s">
        <v>430</v>
      </c>
      <c r="C850" s="384" t="s">
        <v>361</v>
      </c>
      <c r="D850" s="365">
        <v>6111</v>
      </c>
      <c r="E850" s="368" t="s">
        <v>236</v>
      </c>
      <c r="F850" s="386">
        <f>'prévision 2017'!I852</f>
        <v>0</v>
      </c>
      <c r="G850" s="386">
        <f>'prévision 2017'!H852</f>
        <v>0</v>
      </c>
      <c r="H850" s="469">
        <f>'prévision 2017'!G852</f>
        <v>0</v>
      </c>
    </row>
    <row r="851" spans="1:8" ht="30" customHeight="1">
      <c r="A851" s="165" t="s">
        <v>108</v>
      </c>
      <c r="B851" s="463" t="s">
        <v>430</v>
      </c>
      <c r="C851" s="384" t="s">
        <v>361</v>
      </c>
      <c r="D851" s="365">
        <v>6431</v>
      </c>
      <c r="E851" s="368" t="s">
        <v>222</v>
      </c>
      <c r="F851" s="386">
        <f>'prévision 2017'!I853</f>
        <v>0</v>
      </c>
      <c r="G851" s="386">
        <f>'prévision 2017'!H853</f>
        <v>0</v>
      </c>
      <c r="H851" s="469">
        <f>'prévision 2017'!G853</f>
        <v>0</v>
      </c>
    </row>
    <row r="852" spans="1:8" ht="30" customHeight="1">
      <c r="A852" s="165" t="s">
        <v>108</v>
      </c>
      <c r="B852" s="463" t="s">
        <v>430</v>
      </c>
      <c r="C852" s="384" t="s">
        <v>361</v>
      </c>
      <c r="D852" s="365">
        <v>2164</v>
      </c>
      <c r="E852" s="368" t="s">
        <v>583</v>
      </c>
      <c r="F852" s="386">
        <f>'prévision 2017'!I854</f>
        <v>0</v>
      </c>
      <c r="G852" s="386">
        <f>'prévision 2017'!H854</f>
        <v>0</v>
      </c>
      <c r="H852" s="469">
        <f>'prévision 2017'!G854</f>
        <v>0</v>
      </c>
    </row>
    <row r="853" spans="1:8" ht="30" customHeight="1">
      <c r="A853" s="165" t="s">
        <v>108</v>
      </c>
      <c r="B853" s="463" t="s">
        <v>430</v>
      </c>
      <c r="C853" s="384" t="s">
        <v>361</v>
      </c>
      <c r="D853" s="470">
        <v>2125</v>
      </c>
      <c r="E853" s="366" t="s">
        <v>573</v>
      </c>
      <c r="F853" s="386">
        <f>'prévision 2017'!I855</f>
        <v>0</v>
      </c>
      <c r="G853" s="386">
        <f>'prévision 2017'!H855</f>
        <v>0</v>
      </c>
      <c r="H853" s="469">
        <f>'prévision 2017'!G855</f>
        <v>0</v>
      </c>
    </row>
    <row r="854" spans="1:8" ht="30" customHeight="1">
      <c r="A854" s="165" t="s">
        <v>108</v>
      </c>
      <c r="B854" s="463" t="s">
        <v>430</v>
      </c>
      <c r="C854" s="384" t="s">
        <v>361</v>
      </c>
      <c r="D854" s="470">
        <v>2128</v>
      </c>
      <c r="E854" s="366" t="s">
        <v>574</v>
      </c>
      <c r="F854" s="386">
        <f>'prévision 2017'!I856</f>
        <v>148000000</v>
      </c>
      <c r="G854" s="386">
        <f>'prévision 2017'!H856</f>
        <v>0</v>
      </c>
      <c r="H854" s="469">
        <f>'prévision 2017'!G856</f>
        <v>148000000</v>
      </c>
    </row>
    <row r="855" spans="1:8" ht="30" customHeight="1">
      <c r="A855" s="165" t="s">
        <v>108</v>
      </c>
      <c r="B855" s="463" t="s">
        <v>430</v>
      </c>
      <c r="C855" s="384" t="s">
        <v>361</v>
      </c>
      <c r="D855" s="379" t="s">
        <v>463</v>
      </c>
      <c r="E855" s="447"/>
      <c r="F855" s="520">
        <f>SUM(F842:F854)</f>
        <v>223587196</v>
      </c>
      <c r="G855" s="520">
        <f>SUM(G842:G854)</f>
        <v>71720421.57</v>
      </c>
      <c r="H855" s="523">
        <f>SUM(H842:H854)</f>
        <v>223587196</v>
      </c>
    </row>
    <row r="856" spans="1:8" ht="30" customHeight="1">
      <c r="A856" s="165" t="s">
        <v>108</v>
      </c>
      <c r="B856" s="463" t="s">
        <v>431</v>
      </c>
      <c r="C856" s="410" t="s">
        <v>98</v>
      </c>
      <c r="D856" s="447"/>
      <c r="E856" s="447"/>
      <c r="F856" s="386"/>
      <c r="G856" s="596"/>
      <c r="H856" s="468"/>
    </row>
    <row r="857" spans="1:8" ht="30" customHeight="1">
      <c r="A857" s="165" t="s">
        <v>108</v>
      </c>
      <c r="B857" s="463" t="s">
        <v>431</v>
      </c>
      <c r="C857" s="384" t="s">
        <v>361</v>
      </c>
      <c r="D857" s="218">
        <v>60100</v>
      </c>
      <c r="E857" s="230" t="s">
        <v>34</v>
      </c>
      <c r="F857" s="386">
        <f>'prévision 2017'!I859</f>
        <v>0</v>
      </c>
      <c r="G857" s="386">
        <f>'prévision 2017'!H859</f>
        <v>0</v>
      </c>
      <c r="H857" s="469">
        <f>'prévision 2017'!G859</f>
        <v>0</v>
      </c>
    </row>
    <row r="858" spans="1:8" ht="30" customHeight="1">
      <c r="A858" s="165" t="s">
        <v>108</v>
      </c>
      <c r="B858" s="463" t="s">
        <v>431</v>
      </c>
      <c r="C858" s="384" t="s">
        <v>361</v>
      </c>
      <c r="D858" s="218">
        <v>6122</v>
      </c>
      <c r="E858" s="359" t="s">
        <v>582</v>
      </c>
      <c r="F858" s="386">
        <f>'prévision 2017'!I860</f>
        <v>0</v>
      </c>
      <c r="G858" s="386">
        <f>'prévision 2017'!H860</f>
        <v>0</v>
      </c>
      <c r="H858" s="469">
        <f>'prévision 2017'!G860</f>
        <v>0</v>
      </c>
    </row>
    <row r="859" spans="1:8" ht="30" customHeight="1">
      <c r="A859" s="165" t="s">
        <v>108</v>
      </c>
      <c r="B859" s="463" t="s">
        <v>431</v>
      </c>
      <c r="C859" s="384" t="s">
        <v>361</v>
      </c>
      <c r="D859" s="379" t="s">
        <v>463</v>
      </c>
      <c r="E859" s="447"/>
      <c r="F859" s="386">
        <f>SUM(F857:F858)</f>
        <v>0</v>
      </c>
      <c r="G859" s="386">
        <f>SUM(G857:G858)</f>
        <v>0</v>
      </c>
      <c r="H859" s="468">
        <f>SUM(H857:H858)</f>
        <v>0</v>
      </c>
    </row>
    <row r="860" spans="1:8" ht="30" customHeight="1">
      <c r="A860" s="165" t="s">
        <v>108</v>
      </c>
      <c r="B860" s="463" t="s">
        <v>545</v>
      </c>
      <c r="C860" s="410" t="s">
        <v>119</v>
      </c>
      <c r="D860" s="447"/>
      <c r="E860" s="447"/>
      <c r="F860" s="386"/>
      <c r="G860" s="596"/>
      <c r="H860" s="468"/>
    </row>
    <row r="861" spans="1:8" ht="30" customHeight="1">
      <c r="A861" s="165" t="s">
        <v>108</v>
      </c>
      <c r="B861" s="463" t="s">
        <v>545</v>
      </c>
      <c r="C861" s="384" t="s">
        <v>490</v>
      </c>
      <c r="D861" s="365">
        <v>6611</v>
      </c>
      <c r="E861" s="368" t="s">
        <v>6</v>
      </c>
      <c r="F861" s="386">
        <f>'prévision 2017'!I863</f>
        <v>21213200</v>
      </c>
      <c r="G861" s="386">
        <f>'prévision 2017'!H863</f>
        <v>19772433.759999998</v>
      </c>
      <c r="H861" s="468">
        <f>'prévision 2017'!G863</f>
        <v>21213200</v>
      </c>
    </row>
    <row r="862" spans="1:8" ht="30" customHeight="1">
      <c r="A862" s="165" t="s">
        <v>108</v>
      </c>
      <c r="B862" s="463" t="s">
        <v>545</v>
      </c>
      <c r="C862" s="384" t="s">
        <v>490</v>
      </c>
      <c r="D862" s="365">
        <v>60100</v>
      </c>
      <c r="E862" s="368" t="s">
        <v>7</v>
      </c>
      <c r="F862" s="386">
        <f>'prévision 2017'!I864</f>
        <v>553284</v>
      </c>
      <c r="G862" s="386">
        <f>'prévision 2017'!H864</f>
        <v>0</v>
      </c>
      <c r="H862" s="468">
        <f>'prévision 2017'!G864</f>
        <v>553284</v>
      </c>
    </row>
    <row r="863" spans="1:8" ht="30" customHeight="1">
      <c r="A863" s="165" t="s">
        <v>108</v>
      </c>
      <c r="B863" s="463" t="s">
        <v>545</v>
      </c>
      <c r="C863" s="384" t="s">
        <v>490</v>
      </c>
      <c r="D863" s="365">
        <v>60101</v>
      </c>
      <c r="E863" s="368" t="s">
        <v>264</v>
      </c>
      <c r="F863" s="386">
        <f>'prévision 2017'!I865</f>
        <v>553284</v>
      </c>
      <c r="G863" s="386">
        <f>'prévision 2017'!H865</f>
        <v>0</v>
      </c>
      <c r="H863" s="468">
        <f>'prévision 2017'!G865</f>
        <v>553284</v>
      </c>
    </row>
    <row r="864" spans="1:8" ht="30" customHeight="1">
      <c r="A864" s="165" t="s">
        <v>108</v>
      </c>
      <c r="B864" s="463" t="s">
        <v>545</v>
      </c>
      <c r="C864" s="384" t="s">
        <v>490</v>
      </c>
      <c r="D864" s="365">
        <v>6122</v>
      </c>
      <c r="E864" s="389" t="s">
        <v>582</v>
      </c>
      <c r="F864" s="386">
        <f>'prévision 2017'!I866</f>
        <v>368856</v>
      </c>
      <c r="G864" s="386">
        <f>'prévision 2017'!H866</f>
        <v>0</v>
      </c>
      <c r="H864" s="468">
        <f>'prévision 2017'!G866</f>
        <v>368856</v>
      </c>
    </row>
    <row r="865" spans="1:8" ht="30" customHeight="1">
      <c r="A865" s="165" t="s">
        <v>108</v>
      </c>
      <c r="B865" s="463" t="s">
        <v>545</v>
      </c>
      <c r="C865" s="384" t="s">
        <v>490</v>
      </c>
      <c r="D865" s="365">
        <v>6321</v>
      </c>
      <c r="E865" s="366" t="s">
        <v>525</v>
      </c>
      <c r="F865" s="386">
        <f>'prévision 2017'!I867</f>
        <v>3000000000</v>
      </c>
      <c r="G865" s="386">
        <f>'prévision 2017'!H867</f>
        <v>3000000000</v>
      </c>
      <c r="H865" s="468">
        <f>'prévision 2017'!G867</f>
        <v>3000000000</v>
      </c>
    </row>
    <row r="866" spans="1:8" ht="30" customHeight="1">
      <c r="A866" s="165" t="s">
        <v>108</v>
      </c>
      <c r="B866" s="463" t="s">
        <v>545</v>
      </c>
      <c r="C866" s="384" t="s">
        <v>490</v>
      </c>
      <c r="D866" s="365">
        <v>2154</v>
      </c>
      <c r="E866" s="366" t="s">
        <v>554</v>
      </c>
      <c r="F866" s="386">
        <f>'prévision 2017'!I868</f>
        <v>14500000000</v>
      </c>
      <c r="G866" s="386">
        <f>'prévision 2017'!H868</f>
        <v>7807664186</v>
      </c>
      <c r="H866" s="468">
        <f>'prévision 2017'!G868</f>
        <v>6000000000</v>
      </c>
    </row>
    <row r="867" spans="1:8" ht="30" customHeight="1">
      <c r="A867" s="165" t="s">
        <v>108</v>
      </c>
      <c r="B867" s="463" t="s">
        <v>545</v>
      </c>
      <c r="C867" s="384" t="s">
        <v>490</v>
      </c>
      <c r="D867" s="365">
        <v>2157</v>
      </c>
      <c r="E867" s="366" t="s">
        <v>555</v>
      </c>
      <c r="F867" s="386">
        <f>'prévision 2017'!I869</f>
        <v>0</v>
      </c>
      <c r="G867" s="386">
        <f>'prévision 2017'!H869</f>
        <v>0</v>
      </c>
      <c r="H867" s="468">
        <f>'prévision 2017'!G869</f>
        <v>500000000</v>
      </c>
    </row>
    <row r="868" spans="1:8" ht="30" customHeight="1">
      <c r="A868" s="165" t="s">
        <v>108</v>
      </c>
      <c r="B868" s="463" t="s">
        <v>545</v>
      </c>
      <c r="C868" s="384" t="s">
        <v>490</v>
      </c>
      <c r="D868" s="365">
        <v>2158</v>
      </c>
      <c r="E868" s="366" t="s">
        <v>576</v>
      </c>
      <c r="F868" s="386">
        <f>'prévision 2017'!I870</f>
        <v>0</v>
      </c>
      <c r="G868" s="386">
        <f>'prévision 2017'!H870</f>
        <v>0</v>
      </c>
      <c r="H868" s="468">
        <f>'prévision 2017'!G870</f>
        <v>1000000000</v>
      </c>
    </row>
    <row r="869" spans="1:8" ht="30" customHeight="1">
      <c r="A869" s="165" t="s">
        <v>108</v>
      </c>
      <c r="B869" s="463" t="s">
        <v>545</v>
      </c>
      <c r="C869" s="384" t="s">
        <v>490</v>
      </c>
      <c r="D869" s="365">
        <v>2151</v>
      </c>
      <c r="E869" s="416" t="s">
        <v>571</v>
      </c>
      <c r="F869" s="386">
        <f>'prévision 2017'!I871</f>
        <v>0</v>
      </c>
      <c r="G869" s="386">
        <f>'prévision 2017'!H871</f>
        <v>0</v>
      </c>
      <c r="H869" s="468">
        <f>'prévision 2017'!G871</f>
        <v>0</v>
      </c>
    </row>
    <row r="870" spans="1:8" ht="30" customHeight="1">
      <c r="A870" s="165" t="s">
        <v>108</v>
      </c>
      <c r="B870" s="463" t="s">
        <v>545</v>
      </c>
      <c r="C870" s="384" t="s">
        <v>490</v>
      </c>
      <c r="D870" s="379" t="s">
        <v>463</v>
      </c>
      <c r="E870" s="447"/>
      <c r="F870" s="520">
        <f>SUM(F861:F869)</f>
        <v>17522688624</v>
      </c>
      <c r="G870" s="520">
        <f>SUM(G861:G869)</f>
        <v>10827436619.76</v>
      </c>
      <c r="H870" s="468">
        <f>SUM(H861:H869)</f>
        <v>10522688624</v>
      </c>
    </row>
    <row r="871" spans="1:8" ht="30" customHeight="1">
      <c r="A871" s="165" t="s">
        <v>108</v>
      </c>
      <c r="B871" s="463">
        <v>1008</v>
      </c>
      <c r="C871" s="410" t="s">
        <v>211</v>
      </c>
      <c r="D871" s="447"/>
      <c r="E871" s="447"/>
      <c r="F871" s="386"/>
      <c r="G871" s="596"/>
      <c r="H871" s="468"/>
    </row>
    <row r="872" spans="1:8" ht="30" customHeight="1">
      <c r="A872" s="165" t="s">
        <v>108</v>
      </c>
      <c r="B872" s="463">
        <v>1008</v>
      </c>
      <c r="C872" s="384" t="s">
        <v>491</v>
      </c>
      <c r="D872" s="447">
        <v>6312</v>
      </c>
      <c r="E872" s="447" t="s">
        <v>270</v>
      </c>
      <c r="F872" s="386">
        <f>'prévision 2017'!I874</f>
        <v>40660000</v>
      </c>
      <c r="G872" s="386">
        <f>'prévision 2017'!H874</f>
        <v>40660000</v>
      </c>
      <c r="H872" s="468">
        <f>'prévision 2017'!G874</f>
        <v>40660000</v>
      </c>
    </row>
    <row r="873" spans="1:8" ht="30" customHeight="1">
      <c r="A873" s="165" t="s">
        <v>108</v>
      </c>
      <c r="B873" s="463">
        <v>1008</v>
      </c>
      <c r="C873" s="384" t="s">
        <v>491</v>
      </c>
      <c r="D873" s="379" t="s">
        <v>463</v>
      </c>
      <c r="E873" s="375"/>
      <c r="F873" s="520">
        <f>F872</f>
        <v>40660000</v>
      </c>
      <c r="G873" s="520">
        <f>G872</f>
        <v>40660000</v>
      </c>
      <c r="H873" s="468">
        <f>H872</f>
        <v>40660000</v>
      </c>
    </row>
    <row r="874" spans="1:8" ht="30" customHeight="1">
      <c r="A874" s="165" t="s">
        <v>108</v>
      </c>
      <c r="B874" s="463">
        <v>1012</v>
      </c>
      <c r="C874" s="471" t="s">
        <v>122</v>
      </c>
      <c r="D874" s="379"/>
      <c r="E874" s="376"/>
      <c r="F874" s="386"/>
      <c r="G874" s="596"/>
      <c r="H874" s="468"/>
    </row>
    <row r="875" spans="1:8" ht="30" customHeight="1">
      <c r="A875" s="165" t="s">
        <v>108</v>
      </c>
      <c r="B875" s="463">
        <v>1012</v>
      </c>
      <c r="C875" s="377" t="s">
        <v>361</v>
      </c>
      <c r="D875" s="365">
        <v>6611</v>
      </c>
      <c r="E875" s="368" t="s">
        <v>6</v>
      </c>
      <c r="F875" s="386">
        <f>'prévision 2017'!I877</f>
        <v>2816000</v>
      </c>
      <c r="G875" s="386">
        <f>'prévision 2017'!H877</f>
        <v>0</v>
      </c>
      <c r="H875" s="468">
        <f>'prévision 2017'!G877</f>
        <v>2816000</v>
      </c>
    </row>
    <row r="876" spans="1:8" ht="30" customHeight="1">
      <c r="A876" s="165" t="s">
        <v>108</v>
      </c>
      <c r="B876" s="463">
        <v>1012</v>
      </c>
      <c r="C876" s="377" t="s">
        <v>361</v>
      </c>
      <c r="D876" s="365">
        <v>6173</v>
      </c>
      <c r="E876" s="368" t="s">
        <v>19</v>
      </c>
      <c r="F876" s="386">
        <f>'prévision 2017'!I878</f>
        <v>0</v>
      </c>
      <c r="G876" s="386">
        <f>'prévision 2017'!H878</f>
        <v>0</v>
      </c>
      <c r="H876" s="468">
        <f>'prévision 2017'!G878</f>
        <v>0</v>
      </c>
    </row>
    <row r="877" spans="1:8" ht="30" customHeight="1">
      <c r="A877" s="165" t="s">
        <v>108</v>
      </c>
      <c r="B877" s="463">
        <v>1012</v>
      </c>
      <c r="C877" s="377" t="s">
        <v>361</v>
      </c>
      <c r="D877" s="365">
        <v>6311</v>
      </c>
      <c r="E877" s="368" t="s">
        <v>597</v>
      </c>
      <c r="F877" s="386">
        <f>'prévision 2017'!I879</f>
        <v>10000000</v>
      </c>
      <c r="G877" s="386">
        <f>'prévision 2017'!H879</f>
        <v>2500000</v>
      </c>
      <c r="H877" s="468">
        <f>'prévision 2017'!G879</f>
        <v>10000000</v>
      </c>
    </row>
    <row r="878" spans="1:8" ht="30" customHeight="1">
      <c r="A878" s="165" t="s">
        <v>108</v>
      </c>
      <c r="B878" s="463"/>
      <c r="C878" s="379" t="s">
        <v>463</v>
      </c>
      <c r="D878" s="379"/>
      <c r="E878" s="376"/>
      <c r="F878" s="386">
        <f>SUM(F875:F877)</f>
        <v>12816000</v>
      </c>
      <c r="G878" s="386">
        <f>'prévision 2017'!H880</f>
        <v>2500000</v>
      </c>
      <c r="H878" s="468">
        <f>SUM(H875:H877)</f>
        <v>12816000</v>
      </c>
    </row>
    <row r="879" spans="1:10" ht="30" customHeight="1">
      <c r="A879" s="473">
        <v>11</v>
      </c>
      <c r="B879" s="463" t="s">
        <v>72</v>
      </c>
      <c r="C879" s="156"/>
      <c r="F879" s="520">
        <f>F878+F800+F794+F783+F873+F870+F859+F855+F840+F835+F830+F825+F817+F814+F807</f>
        <v>18571180849.962</v>
      </c>
      <c r="G879" s="520">
        <f>G878+G800+G794+G783+G873+G870+G859+G855+G840+G835+G830+G825+G817+G814+G807</f>
        <v>11195553374.67</v>
      </c>
      <c r="H879" s="523">
        <f>H878+H800+H794+H783+H873+H870+H859+H855+H840+H835+H830+H825+H817+H814+H807</f>
        <v>16566180849.962</v>
      </c>
      <c r="J879" s="158"/>
    </row>
    <row r="880" spans="1:7" ht="30" customHeight="1">
      <c r="A880" s="387" t="s">
        <v>115</v>
      </c>
      <c r="B880" s="463" t="s">
        <v>131</v>
      </c>
      <c r="C880" s="475"/>
      <c r="D880" s="475"/>
      <c r="E880" s="475"/>
      <c r="F880" s="386"/>
      <c r="G880" s="596"/>
    </row>
    <row r="881" spans="1:7" ht="30" customHeight="1">
      <c r="A881" s="387" t="s">
        <v>115</v>
      </c>
      <c r="B881" s="463">
        <v>1201</v>
      </c>
      <c r="C881" s="410" t="s">
        <v>132</v>
      </c>
      <c r="F881" s="386"/>
      <c r="G881" s="596"/>
    </row>
    <row r="882" spans="1:8" ht="30" customHeight="1">
      <c r="A882" s="165" t="s">
        <v>115</v>
      </c>
      <c r="B882" s="463">
        <v>1201</v>
      </c>
      <c r="C882" s="384" t="s">
        <v>499</v>
      </c>
      <c r="D882" s="365">
        <v>6611</v>
      </c>
      <c r="E882" s="368" t="s">
        <v>6</v>
      </c>
      <c r="F882" s="386">
        <f>'prévision 2017'!I884</f>
        <v>74248404</v>
      </c>
      <c r="G882" s="386">
        <f>'prévision 2017'!H884</f>
        <v>61687964.07000001</v>
      </c>
      <c r="H882" s="158">
        <f>'prévision 2017'!G884</f>
        <v>74248404</v>
      </c>
    </row>
    <row r="883" spans="1:8" ht="30" customHeight="1">
      <c r="A883" s="165" t="s">
        <v>115</v>
      </c>
      <c r="B883" s="463">
        <v>1201</v>
      </c>
      <c r="C883" s="384" t="s">
        <v>499</v>
      </c>
      <c r="D883" s="365">
        <v>60100</v>
      </c>
      <c r="E883" s="368" t="s">
        <v>7</v>
      </c>
      <c r="F883" s="386">
        <f>'prévision 2017'!I885</f>
        <v>1992000</v>
      </c>
      <c r="G883" s="386">
        <f>'prévision 2017'!H885</f>
        <v>491500</v>
      </c>
      <c r="H883" s="158">
        <f>'prévision 2017'!G885</f>
        <v>1992000</v>
      </c>
    </row>
    <row r="884" spans="1:8" ht="30" customHeight="1">
      <c r="A884" s="165" t="s">
        <v>115</v>
      </c>
      <c r="B884" s="463">
        <v>1201</v>
      </c>
      <c r="C884" s="384" t="s">
        <v>499</v>
      </c>
      <c r="D884" s="365">
        <v>60101</v>
      </c>
      <c r="E884" s="368" t="s">
        <v>264</v>
      </c>
      <c r="F884" s="386">
        <f>'prévision 2017'!I886</f>
        <v>280000</v>
      </c>
      <c r="G884" s="386">
        <f>'prévision 2017'!H886</f>
        <v>65000</v>
      </c>
      <c r="H884" s="158">
        <f>'prévision 2017'!G886</f>
        <v>280000</v>
      </c>
    </row>
    <row r="885" spans="1:8" ht="30" customHeight="1">
      <c r="A885" s="165" t="s">
        <v>115</v>
      </c>
      <c r="B885" s="463">
        <v>1201</v>
      </c>
      <c r="C885" s="384" t="s">
        <v>499</v>
      </c>
      <c r="D885" s="365">
        <v>6122</v>
      </c>
      <c r="E885" s="389" t="s">
        <v>582</v>
      </c>
      <c r="F885" s="386">
        <f>'prévision 2017'!I887</f>
        <v>564000</v>
      </c>
      <c r="G885" s="386">
        <f>'prévision 2017'!H887</f>
        <v>140200</v>
      </c>
      <c r="H885" s="158">
        <f>'prévision 2017'!G887</f>
        <v>564000</v>
      </c>
    </row>
    <row r="886" spans="1:8" ht="30" customHeight="1">
      <c r="A886" s="165" t="s">
        <v>115</v>
      </c>
      <c r="B886" s="463">
        <v>1201</v>
      </c>
      <c r="C886" s="384" t="s">
        <v>499</v>
      </c>
      <c r="D886" s="365">
        <v>6133</v>
      </c>
      <c r="E886" s="368" t="s">
        <v>110</v>
      </c>
      <c r="F886" s="386">
        <f>'prévision 2017'!I888</f>
        <v>3164000</v>
      </c>
      <c r="G886" s="386">
        <f>'prévision 2017'!H888</f>
        <v>0</v>
      </c>
      <c r="H886" s="158">
        <f>'prévision 2017'!G888</f>
        <v>3164000</v>
      </c>
    </row>
    <row r="887" spans="1:8" ht="30" customHeight="1">
      <c r="A887" s="165" t="s">
        <v>115</v>
      </c>
      <c r="B887" s="463">
        <v>1201</v>
      </c>
      <c r="C887" s="384" t="s">
        <v>499</v>
      </c>
      <c r="D887" s="365">
        <v>6135</v>
      </c>
      <c r="E887" s="368" t="s">
        <v>171</v>
      </c>
      <c r="F887" s="386">
        <f>'prévision 2017'!I889</f>
        <v>0</v>
      </c>
      <c r="G887" s="386">
        <f>'prévision 2017'!H889</f>
        <v>0</v>
      </c>
      <c r="H887" s="158">
        <f>'prévision 2017'!G889</f>
        <v>0</v>
      </c>
    </row>
    <row r="888" spans="1:8" ht="30" customHeight="1">
      <c r="A888" s="165" t="s">
        <v>115</v>
      </c>
      <c r="B888" s="463">
        <v>1201</v>
      </c>
      <c r="C888" s="384" t="s">
        <v>499</v>
      </c>
      <c r="D888" s="365">
        <v>6138</v>
      </c>
      <c r="E888" s="368" t="s">
        <v>177</v>
      </c>
      <c r="F888" s="386">
        <f>'prévision 2017'!I890</f>
        <v>0</v>
      </c>
      <c r="G888" s="386">
        <f>'prévision 2017'!H890</f>
        <v>0</v>
      </c>
      <c r="H888" s="158">
        <f>'prévision 2017'!G890</f>
        <v>0</v>
      </c>
    </row>
    <row r="889" spans="1:8" ht="30" customHeight="1">
      <c r="A889" s="165" t="s">
        <v>115</v>
      </c>
      <c r="B889" s="463">
        <v>1201</v>
      </c>
      <c r="C889" s="384" t="s">
        <v>499</v>
      </c>
      <c r="D889" s="365">
        <v>6143</v>
      </c>
      <c r="E889" s="416" t="s">
        <v>292</v>
      </c>
      <c r="F889" s="386">
        <f>'prévision 2017'!I891</f>
        <v>0</v>
      </c>
      <c r="G889" s="386">
        <f>'prévision 2017'!H891</f>
        <v>0</v>
      </c>
      <c r="H889" s="158">
        <f>'prévision 2017'!G891</f>
        <v>0</v>
      </c>
    </row>
    <row r="890" spans="1:8" ht="30" customHeight="1">
      <c r="A890" s="165" t="s">
        <v>115</v>
      </c>
      <c r="B890" s="463">
        <v>1201</v>
      </c>
      <c r="C890" s="384" t="s">
        <v>499</v>
      </c>
      <c r="D890" s="365">
        <v>6052</v>
      </c>
      <c r="E890" s="416" t="s">
        <v>598</v>
      </c>
      <c r="F890" s="386">
        <f>'prévision 2017'!I892</f>
        <v>0</v>
      </c>
      <c r="G890" s="386">
        <f>'prévision 2017'!H892</f>
        <v>0</v>
      </c>
      <c r="H890" s="158">
        <f>'prévision 2017'!G892</f>
        <v>0</v>
      </c>
    </row>
    <row r="891" spans="1:8" ht="30" customHeight="1">
      <c r="A891" s="165" t="s">
        <v>115</v>
      </c>
      <c r="B891" s="463">
        <v>1201</v>
      </c>
      <c r="C891" s="384" t="s">
        <v>499</v>
      </c>
      <c r="D891" s="365">
        <v>6152</v>
      </c>
      <c r="E891" s="416" t="s">
        <v>256</v>
      </c>
      <c r="F891" s="386">
        <f>'prévision 2017'!I893</f>
        <v>0</v>
      </c>
      <c r="G891" s="386">
        <f>'prévision 2017'!H893</f>
        <v>0</v>
      </c>
      <c r="H891" s="158">
        <f>'prévision 2017'!G893</f>
        <v>0</v>
      </c>
    </row>
    <row r="892" spans="1:8" ht="30" customHeight="1">
      <c r="A892" s="165" t="s">
        <v>115</v>
      </c>
      <c r="B892" s="463">
        <v>1201</v>
      </c>
      <c r="C892" s="384" t="s">
        <v>499</v>
      </c>
      <c r="D892" s="365">
        <v>6111</v>
      </c>
      <c r="E892" s="368" t="s">
        <v>238</v>
      </c>
      <c r="F892" s="386">
        <f>'prévision 2017'!I894</f>
        <v>0</v>
      </c>
      <c r="G892" s="386">
        <f>'prévision 2017'!H894</f>
        <v>0</v>
      </c>
      <c r="H892" s="158">
        <f>'prévision 2017'!G894</f>
        <v>0</v>
      </c>
    </row>
    <row r="893" spans="1:8" ht="30" customHeight="1">
      <c r="A893" s="165" t="s">
        <v>115</v>
      </c>
      <c r="B893" s="463">
        <v>1201</v>
      </c>
      <c r="C893" s="384" t="s">
        <v>499</v>
      </c>
      <c r="D893" s="365">
        <v>6112</v>
      </c>
      <c r="E893" s="368" t="s">
        <v>236</v>
      </c>
      <c r="F893" s="386">
        <f>'prévision 2017'!I895</f>
        <v>0</v>
      </c>
      <c r="G893" s="386">
        <f>'prévision 2017'!H895</f>
        <v>0</v>
      </c>
      <c r="H893" s="158">
        <f>'prévision 2017'!G895</f>
        <v>0</v>
      </c>
    </row>
    <row r="894" spans="1:8" ht="30" customHeight="1">
      <c r="A894" s="165" t="s">
        <v>115</v>
      </c>
      <c r="B894" s="463">
        <v>1201</v>
      </c>
      <c r="C894" s="384" t="s">
        <v>499</v>
      </c>
      <c r="D894" s="365">
        <v>6175</v>
      </c>
      <c r="E894" s="368" t="s">
        <v>13</v>
      </c>
      <c r="F894" s="386">
        <f>'prévision 2017'!I896</f>
        <v>2000000</v>
      </c>
      <c r="G894" s="386">
        <f>'prévision 2017'!H896</f>
        <v>0</v>
      </c>
      <c r="H894" s="158">
        <f>'prévision 2017'!G896</f>
        <v>2000000</v>
      </c>
    </row>
    <row r="895" spans="1:8" ht="30" customHeight="1">
      <c r="A895" s="165" t="s">
        <v>115</v>
      </c>
      <c r="B895" s="463">
        <v>1201</v>
      </c>
      <c r="C895" s="384" t="s">
        <v>499</v>
      </c>
      <c r="D895" s="365">
        <v>6431</v>
      </c>
      <c r="E895" s="368" t="s">
        <v>222</v>
      </c>
      <c r="F895" s="386">
        <f>'prévision 2017'!I897</f>
        <v>60000000</v>
      </c>
      <c r="G895" s="386">
        <f>'prévision 2017'!H897</f>
        <v>3312030</v>
      </c>
      <c r="H895" s="158">
        <f>'prévision 2017'!G897</f>
        <v>60000000</v>
      </c>
    </row>
    <row r="896" spans="1:8" ht="30" customHeight="1">
      <c r="A896" s="165" t="s">
        <v>115</v>
      </c>
      <c r="B896" s="463">
        <v>1201</v>
      </c>
      <c r="C896" s="384" t="s">
        <v>499</v>
      </c>
      <c r="D896" s="365">
        <v>2121</v>
      </c>
      <c r="E896" s="368" t="s">
        <v>590</v>
      </c>
      <c r="F896" s="386">
        <f>'prévision 2017'!I898</f>
        <v>0</v>
      </c>
      <c r="G896" s="386">
        <f>'prévision 2017'!H898</f>
        <v>0</v>
      </c>
      <c r="H896" s="158">
        <f>'prévision 2017'!G898</f>
        <v>0</v>
      </c>
    </row>
    <row r="897" spans="1:8" ht="30" customHeight="1">
      <c r="A897" s="165" t="s">
        <v>115</v>
      </c>
      <c r="B897" s="463">
        <v>1201</v>
      </c>
      <c r="C897" s="384" t="s">
        <v>499</v>
      </c>
      <c r="D897" s="365">
        <v>2164</v>
      </c>
      <c r="E897" s="368" t="s">
        <v>283</v>
      </c>
      <c r="F897" s="386">
        <f>'prévision 2017'!I899</f>
        <v>0</v>
      </c>
      <c r="G897" s="386">
        <f>'prévision 2017'!H899</f>
        <v>0</v>
      </c>
      <c r="H897" s="158">
        <f>'prévision 2017'!G899</f>
        <v>0</v>
      </c>
    </row>
    <row r="898" spans="1:8" ht="30" customHeight="1">
      <c r="A898" s="473" t="s">
        <v>115</v>
      </c>
      <c r="B898" s="463">
        <v>1201</v>
      </c>
      <c r="C898" s="412" t="s">
        <v>499</v>
      </c>
      <c r="D898" s="476" t="s">
        <v>463</v>
      </c>
      <c r="F898" s="520">
        <f>SUM(F882:F897)</f>
        <v>142248404</v>
      </c>
      <c r="G898" s="520">
        <f>SUM(G882:G897)</f>
        <v>65696694.07000001</v>
      </c>
      <c r="H898" s="414">
        <f>SUM(H882:H897)</f>
        <v>142248404</v>
      </c>
    </row>
    <row r="899" spans="1:7" ht="30" customHeight="1">
      <c r="A899" s="165" t="s">
        <v>115</v>
      </c>
      <c r="B899" s="463">
        <v>1202</v>
      </c>
      <c r="C899" s="427" t="s">
        <v>66</v>
      </c>
      <c r="D899" s="410"/>
      <c r="E899" s="477"/>
      <c r="F899" s="386"/>
      <c r="G899" s="596"/>
    </row>
    <row r="900" spans="1:8" ht="30" customHeight="1">
      <c r="A900" s="165" t="s">
        <v>115</v>
      </c>
      <c r="B900" s="463">
        <v>1202</v>
      </c>
      <c r="C900" s="384" t="s">
        <v>499</v>
      </c>
      <c r="D900" s="365">
        <v>6611</v>
      </c>
      <c r="E900" s="368" t="s">
        <v>6</v>
      </c>
      <c r="F900" s="386">
        <f>'prévision 2017'!I902</f>
        <v>22163576</v>
      </c>
      <c r="G900" s="386">
        <f>'prévision 2017'!H902</f>
        <v>14921466.36</v>
      </c>
      <c r="H900" s="158">
        <f>'prévision 2017'!G902</f>
        <v>22163576</v>
      </c>
    </row>
    <row r="901" spans="1:8" ht="30" customHeight="1">
      <c r="A901" s="165" t="s">
        <v>115</v>
      </c>
      <c r="B901" s="463">
        <v>1202</v>
      </c>
      <c r="C901" s="384" t="s">
        <v>499</v>
      </c>
      <c r="D901" s="365">
        <v>60100</v>
      </c>
      <c r="E901" s="368" t="s">
        <v>7</v>
      </c>
      <c r="F901" s="386">
        <f>'prévision 2017'!I903</f>
        <v>844000</v>
      </c>
      <c r="G901" s="386">
        <f>'prévision 2017'!H903</f>
        <v>210950</v>
      </c>
      <c r="H901" s="158">
        <f>'prévision 2017'!G903</f>
        <v>844000</v>
      </c>
    </row>
    <row r="902" spans="1:8" ht="30" customHeight="1">
      <c r="A902" s="165" t="s">
        <v>115</v>
      </c>
      <c r="B902" s="463">
        <v>1202</v>
      </c>
      <c r="C902" s="384" t="s">
        <v>499</v>
      </c>
      <c r="D902" s="365">
        <v>60101</v>
      </c>
      <c r="E902" s="368" t="s">
        <v>255</v>
      </c>
      <c r="F902" s="386">
        <f>'prévision 2017'!I904</f>
        <v>265000</v>
      </c>
      <c r="G902" s="386">
        <f>'prévision 2017'!H904</f>
        <v>65000</v>
      </c>
      <c r="H902" s="158">
        <f>'prévision 2017'!G904</f>
        <v>265000</v>
      </c>
    </row>
    <row r="903" spans="1:8" ht="30" customHeight="1">
      <c r="A903" s="165" t="s">
        <v>115</v>
      </c>
      <c r="B903" s="463">
        <v>1202</v>
      </c>
      <c r="C903" s="384" t="s">
        <v>499</v>
      </c>
      <c r="D903" s="365">
        <v>6122</v>
      </c>
      <c r="E903" s="389" t="s">
        <v>582</v>
      </c>
      <c r="F903" s="386">
        <f>'prévision 2017'!I905</f>
        <v>0</v>
      </c>
      <c r="G903" s="386">
        <f>'prévision 2017'!H905</f>
        <v>0</v>
      </c>
      <c r="H903" s="158">
        <f>'prévision 2017'!G905</f>
        <v>0</v>
      </c>
    </row>
    <row r="904" spans="1:8" ht="30" customHeight="1">
      <c r="A904" s="165" t="s">
        <v>115</v>
      </c>
      <c r="B904" s="463">
        <v>1202</v>
      </c>
      <c r="C904" s="384" t="s">
        <v>499</v>
      </c>
      <c r="D904" s="365">
        <v>6143</v>
      </c>
      <c r="E904" s="368" t="s">
        <v>292</v>
      </c>
      <c r="F904" s="386">
        <f>'prévision 2017'!I906</f>
        <v>0</v>
      </c>
      <c r="G904" s="386">
        <f>'prévision 2017'!H906</f>
        <v>0</v>
      </c>
      <c r="H904" s="158">
        <f>'prévision 2017'!G906</f>
        <v>0</v>
      </c>
    </row>
    <row r="905" spans="1:8" ht="30" customHeight="1">
      <c r="A905" s="165" t="s">
        <v>115</v>
      </c>
      <c r="B905" s="463">
        <v>1202</v>
      </c>
      <c r="C905" s="384" t="s">
        <v>499</v>
      </c>
      <c r="D905" s="365">
        <v>6112</v>
      </c>
      <c r="E905" s="368" t="s">
        <v>556</v>
      </c>
      <c r="F905" s="386">
        <f>'prévision 2017'!I907</f>
        <v>0</v>
      </c>
      <c r="G905" s="386">
        <f>'prévision 2017'!H907</f>
        <v>0</v>
      </c>
      <c r="H905" s="158">
        <f>'prévision 2017'!G907</f>
        <v>0</v>
      </c>
    </row>
    <row r="906" spans="1:8" ht="30" customHeight="1">
      <c r="A906" s="165" t="s">
        <v>115</v>
      </c>
      <c r="B906" s="463">
        <v>1202</v>
      </c>
      <c r="C906" s="384" t="s">
        <v>499</v>
      </c>
      <c r="D906" s="365">
        <v>6175</v>
      </c>
      <c r="E906" s="368" t="s">
        <v>13</v>
      </c>
      <c r="F906" s="386">
        <f>'prévision 2017'!I908</f>
        <v>0</v>
      </c>
      <c r="G906" s="386">
        <f>'prévision 2017'!H908</f>
        <v>0</v>
      </c>
      <c r="H906" s="158">
        <f>'prévision 2017'!G908</f>
        <v>0</v>
      </c>
    </row>
    <row r="907" spans="1:8" ht="30" customHeight="1">
      <c r="A907" s="165" t="s">
        <v>115</v>
      </c>
      <c r="B907" s="463">
        <v>1202</v>
      </c>
      <c r="C907" s="384" t="s">
        <v>499</v>
      </c>
      <c r="D907" s="365">
        <v>6433</v>
      </c>
      <c r="E907" s="368" t="s">
        <v>42</v>
      </c>
      <c r="F907" s="386">
        <f>'prévision 2017'!I909</f>
        <v>0</v>
      </c>
      <c r="G907" s="386">
        <f>'prévision 2017'!H909</f>
        <v>0</v>
      </c>
      <c r="H907" s="158">
        <f>'prévision 2017'!G909</f>
        <v>0</v>
      </c>
    </row>
    <row r="908" spans="1:8" ht="30" customHeight="1">
      <c r="A908" s="165" t="s">
        <v>115</v>
      </c>
      <c r="B908" s="463">
        <v>1202</v>
      </c>
      <c r="C908" s="384" t="s">
        <v>499</v>
      </c>
      <c r="D908" s="365">
        <v>2041</v>
      </c>
      <c r="E908" s="368" t="s">
        <v>557</v>
      </c>
      <c r="F908" s="386">
        <f>'prévision 2017'!I910</f>
        <v>0</v>
      </c>
      <c r="G908" s="386">
        <f>'prévision 2017'!H910</f>
        <v>0</v>
      </c>
      <c r="H908" s="158">
        <f>'prévision 2017'!G910</f>
        <v>0</v>
      </c>
    </row>
    <row r="909" spans="1:8" ht="30" customHeight="1">
      <c r="A909" s="165" t="s">
        <v>115</v>
      </c>
      <c r="B909" s="463">
        <v>1202</v>
      </c>
      <c r="C909" s="384" t="s">
        <v>499</v>
      </c>
      <c r="D909" s="365">
        <v>2164</v>
      </c>
      <c r="E909" s="368" t="s">
        <v>283</v>
      </c>
      <c r="F909" s="386">
        <f>'prévision 2017'!I911</f>
        <v>0</v>
      </c>
      <c r="G909" s="386">
        <f>'prévision 2017'!H911</f>
        <v>0</v>
      </c>
      <c r="H909" s="158">
        <f>'prévision 2017'!G911</f>
        <v>0</v>
      </c>
    </row>
    <row r="910" spans="1:8" ht="30" customHeight="1">
      <c r="A910" s="165" t="s">
        <v>115</v>
      </c>
      <c r="B910" s="463">
        <v>1202</v>
      </c>
      <c r="C910" s="384" t="s">
        <v>499</v>
      </c>
      <c r="D910" s="365">
        <v>2162</v>
      </c>
      <c r="E910" s="368" t="s">
        <v>553</v>
      </c>
      <c r="F910" s="386">
        <f>'prévision 2017'!I912</f>
        <v>0</v>
      </c>
      <c r="G910" s="386">
        <f>'prévision 2017'!H912</f>
        <v>0</v>
      </c>
      <c r="H910" s="158">
        <f>'prévision 2017'!G912</f>
        <v>0</v>
      </c>
    </row>
    <row r="911" spans="1:8" ht="30" customHeight="1">
      <c r="A911" s="165" t="s">
        <v>115</v>
      </c>
      <c r="B911" s="463">
        <v>1202</v>
      </c>
      <c r="C911" s="384" t="s">
        <v>499</v>
      </c>
      <c r="D911" s="365">
        <v>2161</v>
      </c>
      <c r="E911" s="368" t="s">
        <v>286</v>
      </c>
      <c r="F911" s="386">
        <f>'prévision 2017'!I913</f>
        <v>0</v>
      </c>
      <c r="G911" s="386">
        <f>'prévision 2017'!H913</f>
        <v>0</v>
      </c>
      <c r="H911" s="158">
        <f>'prévision 2017'!G913</f>
        <v>0</v>
      </c>
    </row>
    <row r="912" spans="1:8" ht="30" customHeight="1">
      <c r="A912" s="165" t="s">
        <v>115</v>
      </c>
      <c r="B912" s="463">
        <v>1202</v>
      </c>
      <c r="C912" s="412" t="s">
        <v>499</v>
      </c>
      <c r="D912" s="379" t="s">
        <v>463</v>
      </c>
      <c r="F912" s="520">
        <f>SUM(F900:F911)</f>
        <v>23272576</v>
      </c>
      <c r="G912" s="520">
        <f>SUM(G900:G911)</f>
        <v>15197416.36</v>
      </c>
      <c r="H912" s="414">
        <f>SUM(H900:H911)</f>
        <v>23272576</v>
      </c>
    </row>
    <row r="913" spans="1:7" ht="30" customHeight="1">
      <c r="A913" s="165" t="s">
        <v>115</v>
      </c>
      <c r="B913" s="463">
        <v>1203</v>
      </c>
      <c r="C913" s="440" t="s">
        <v>133</v>
      </c>
      <c r="D913" s="434"/>
      <c r="F913" s="386"/>
      <c r="G913" s="596"/>
    </row>
    <row r="914" spans="1:8" ht="30" customHeight="1">
      <c r="A914" s="165" t="s">
        <v>115</v>
      </c>
      <c r="B914" s="463">
        <v>1203</v>
      </c>
      <c r="C914" s="384" t="s">
        <v>499</v>
      </c>
      <c r="D914" s="365">
        <v>6611</v>
      </c>
      <c r="E914" s="368" t="s">
        <v>6</v>
      </c>
      <c r="F914" s="386">
        <f>'prévision 2017'!I916</f>
        <v>0</v>
      </c>
      <c r="G914" s="386">
        <f>'prévision 2017'!H916</f>
        <v>0</v>
      </c>
      <c r="H914" s="158">
        <f>'prévision 2017'!G916</f>
        <v>0</v>
      </c>
    </row>
    <row r="915" spans="1:8" ht="30" customHeight="1">
      <c r="A915" s="165" t="s">
        <v>115</v>
      </c>
      <c r="B915" s="463">
        <v>1203</v>
      </c>
      <c r="C915" s="384" t="s">
        <v>499</v>
      </c>
      <c r="D915" s="365">
        <v>60100</v>
      </c>
      <c r="E915" s="368" t="s">
        <v>7</v>
      </c>
      <c r="F915" s="386">
        <f>'prévision 2017'!I917</f>
        <v>966100</v>
      </c>
      <c r="G915" s="386">
        <f>'prévision 2017'!H917</f>
        <v>241250</v>
      </c>
      <c r="H915" s="158">
        <f>'prévision 2017'!G917</f>
        <v>966100</v>
      </c>
    </row>
    <row r="916" spans="1:8" ht="30" customHeight="1">
      <c r="A916" s="165" t="s">
        <v>115</v>
      </c>
      <c r="B916" s="463">
        <v>1203</v>
      </c>
      <c r="C916" s="384" t="s">
        <v>499</v>
      </c>
      <c r="D916" s="365">
        <v>6122</v>
      </c>
      <c r="E916" s="389" t="s">
        <v>582</v>
      </c>
      <c r="F916" s="386">
        <f>'prévision 2017'!I918</f>
        <v>0</v>
      </c>
      <c r="G916" s="386">
        <f>'prévision 2017'!H918</f>
        <v>0</v>
      </c>
      <c r="H916" s="158">
        <f>'prévision 2017'!G918</f>
        <v>0</v>
      </c>
    </row>
    <row r="917" spans="1:8" ht="30" customHeight="1">
      <c r="A917" s="165" t="s">
        <v>115</v>
      </c>
      <c r="B917" s="463">
        <v>1203</v>
      </c>
      <c r="C917" s="384" t="s">
        <v>499</v>
      </c>
      <c r="D917" s="365">
        <v>6111</v>
      </c>
      <c r="E917" s="368" t="s">
        <v>556</v>
      </c>
      <c r="F917" s="386">
        <f>'prévision 2017'!I919</f>
        <v>0</v>
      </c>
      <c r="G917" s="386">
        <f>'prévision 2017'!H919</f>
        <v>0</v>
      </c>
      <c r="H917" s="158">
        <f>'prévision 2017'!G919</f>
        <v>0</v>
      </c>
    </row>
    <row r="918" spans="1:8" ht="30" customHeight="1">
      <c r="A918" s="165" t="s">
        <v>115</v>
      </c>
      <c r="B918" s="463">
        <v>1203</v>
      </c>
      <c r="C918" s="384" t="s">
        <v>499</v>
      </c>
      <c r="D918" s="365">
        <v>6452</v>
      </c>
      <c r="E918" s="368" t="s">
        <v>182</v>
      </c>
      <c r="F918" s="386">
        <f>'prévision 2017'!I920</f>
        <v>0</v>
      </c>
      <c r="G918" s="386">
        <f>'prévision 2017'!H920</f>
        <v>0</v>
      </c>
      <c r="H918" s="158">
        <f>'prévision 2017'!G920</f>
        <v>0</v>
      </c>
    </row>
    <row r="919" spans="1:8" ht="30" customHeight="1">
      <c r="A919" s="165" t="s">
        <v>115</v>
      </c>
      <c r="B919" s="463">
        <v>1203</v>
      </c>
      <c r="C919" s="412" t="s">
        <v>499</v>
      </c>
      <c r="D919" s="379" t="s">
        <v>463</v>
      </c>
      <c r="F919" s="520">
        <f>SUM(F914:F918)</f>
        <v>966100</v>
      </c>
      <c r="G919" s="520">
        <f>SUM(G914:G918)</f>
        <v>241250</v>
      </c>
      <c r="H919" s="414">
        <f>SUM(H914:H918)</f>
        <v>966100</v>
      </c>
    </row>
    <row r="920" spans="1:7" ht="30" customHeight="1">
      <c r="A920" s="165" t="s">
        <v>115</v>
      </c>
      <c r="B920" s="463">
        <v>1204</v>
      </c>
      <c r="C920" s="478" t="s">
        <v>134</v>
      </c>
      <c r="F920" s="386"/>
      <c r="G920" s="386"/>
    </row>
    <row r="921" spans="1:8" ht="30" customHeight="1">
      <c r="A921" s="165" t="s">
        <v>115</v>
      </c>
      <c r="B921" s="463">
        <v>1204</v>
      </c>
      <c r="C921" s="384" t="s">
        <v>499</v>
      </c>
      <c r="D921" s="365">
        <v>6611</v>
      </c>
      <c r="E921" s="368" t="s">
        <v>6</v>
      </c>
      <c r="F921" s="386">
        <f>'prévision 2017'!I923</f>
        <v>30682800</v>
      </c>
      <c r="G921" s="386">
        <f>'prévision 2017'!H923</f>
        <v>25123799.78</v>
      </c>
      <c r="H921" s="158">
        <f>'prévision 2017'!G923</f>
        <v>30682800</v>
      </c>
    </row>
    <row r="922" spans="1:8" ht="30" customHeight="1">
      <c r="A922" s="165" t="s">
        <v>115</v>
      </c>
      <c r="B922" s="463">
        <v>1204</v>
      </c>
      <c r="C922" s="384" t="s">
        <v>499</v>
      </c>
      <c r="D922" s="365">
        <v>60100</v>
      </c>
      <c r="E922" s="368" t="s">
        <v>7</v>
      </c>
      <c r="F922" s="386">
        <f>'prévision 2017'!I924</f>
        <v>1000000</v>
      </c>
      <c r="G922" s="386">
        <f>'prévision 2017'!H924</f>
        <v>0</v>
      </c>
      <c r="H922" s="158">
        <f>'prévision 2017'!G924</f>
        <v>1000000</v>
      </c>
    </row>
    <row r="923" spans="1:8" ht="42.75" customHeight="1">
      <c r="A923" s="165" t="s">
        <v>115</v>
      </c>
      <c r="B923" s="463">
        <v>1204</v>
      </c>
      <c r="C923" s="384" t="s">
        <v>499</v>
      </c>
      <c r="D923" s="365">
        <v>6173</v>
      </c>
      <c r="E923" s="368" t="s">
        <v>19</v>
      </c>
      <c r="F923" s="386">
        <f>'prévision 2017'!I925</f>
        <v>87074000</v>
      </c>
      <c r="G923" s="386">
        <f>'prévision 2017'!H925</f>
        <v>87066710</v>
      </c>
      <c r="H923" s="158">
        <f>'prévision 2017'!G925</f>
        <v>87074000</v>
      </c>
    </row>
    <row r="924" spans="1:8" ht="30.75" customHeight="1">
      <c r="A924" s="165" t="s">
        <v>115</v>
      </c>
      <c r="B924" s="463">
        <v>1204</v>
      </c>
      <c r="C924" s="384" t="s">
        <v>499</v>
      </c>
      <c r="D924" s="365">
        <v>2041</v>
      </c>
      <c r="E924" s="368" t="s">
        <v>557</v>
      </c>
      <c r="F924" s="386">
        <f>'prévision 2017'!I926</f>
        <v>2680000</v>
      </c>
      <c r="G924" s="386">
        <f>'prévision 2017'!H926</f>
        <v>0</v>
      </c>
      <c r="H924" s="158">
        <f>'prévision 2017'!G926</f>
        <v>2680000</v>
      </c>
    </row>
    <row r="925" spans="1:8" ht="30" customHeight="1">
      <c r="A925" s="165" t="s">
        <v>115</v>
      </c>
      <c r="B925" s="463">
        <v>1204</v>
      </c>
      <c r="C925" s="412" t="s">
        <v>499</v>
      </c>
      <c r="D925" s="379" t="s">
        <v>463</v>
      </c>
      <c r="F925" s="520">
        <f>SUM(F921:F924)</f>
        <v>121436800</v>
      </c>
      <c r="G925" s="520">
        <f>SUM(G921:G924)</f>
        <v>112190509.78</v>
      </c>
      <c r="H925" s="414">
        <f>SUM(H921:H924)</f>
        <v>121436800</v>
      </c>
    </row>
    <row r="926" spans="1:7" ht="30" customHeight="1">
      <c r="A926" s="165" t="s">
        <v>115</v>
      </c>
      <c r="B926" s="463">
        <v>1205</v>
      </c>
      <c r="C926" s="440" t="s">
        <v>135</v>
      </c>
      <c r="D926" s="434"/>
      <c r="F926" s="386"/>
      <c r="G926" s="596"/>
    </row>
    <row r="927" spans="1:8" ht="30" customHeight="1">
      <c r="A927" s="165" t="s">
        <v>115</v>
      </c>
      <c r="B927" s="463">
        <v>1205</v>
      </c>
      <c r="C927" s="384" t="s">
        <v>499</v>
      </c>
      <c r="D927" s="365">
        <v>60100</v>
      </c>
      <c r="E927" s="368" t="s">
        <v>7</v>
      </c>
      <c r="F927" s="386">
        <f>'prévision 2017'!I929</f>
        <v>848800</v>
      </c>
      <c r="G927" s="386">
        <f>'prévision 2017'!H929</f>
        <v>210750</v>
      </c>
      <c r="H927" s="158">
        <f>'prévision 2017'!G929</f>
        <v>848800</v>
      </c>
    </row>
    <row r="928" spans="1:8" ht="30" customHeight="1">
      <c r="A928" s="165" t="s">
        <v>115</v>
      </c>
      <c r="B928" s="463">
        <v>1205</v>
      </c>
      <c r="C928" s="384" t="s">
        <v>499</v>
      </c>
      <c r="D928" s="365">
        <v>6122</v>
      </c>
      <c r="E928" s="389" t="s">
        <v>582</v>
      </c>
      <c r="F928" s="386">
        <f>'prévision 2017'!I930</f>
        <v>0</v>
      </c>
      <c r="G928" s="386">
        <f>'prévision 2017'!H930</f>
        <v>0</v>
      </c>
      <c r="H928" s="158">
        <f>'prévision 2017'!G930</f>
        <v>0</v>
      </c>
    </row>
    <row r="929" spans="1:8" ht="30" customHeight="1">
      <c r="A929" s="165" t="s">
        <v>115</v>
      </c>
      <c r="B929" s="463">
        <v>1205</v>
      </c>
      <c r="C929" s="384" t="s">
        <v>499</v>
      </c>
      <c r="D929" s="365">
        <v>6452</v>
      </c>
      <c r="E929" s="366" t="s">
        <v>182</v>
      </c>
      <c r="F929" s="386">
        <f>'prévision 2017'!I931</f>
        <v>0</v>
      </c>
      <c r="G929" s="386">
        <f>'prévision 2017'!H931</f>
        <v>0</v>
      </c>
      <c r="H929" s="158"/>
    </row>
    <row r="930" spans="1:8" ht="30" customHeight="1">
      <c r="A930" s="165" t="s">
        <v>115</v>
      </c>
      <c r="B930" s="463">
        <v>1205</v>
      </c>
      <c r="C930" s="384" t="s">
        <v>499</v>
      </c>
      <c r="D930" s="472"/>
      <c r="E930" s="479"/>
      <c r="F930" s="386"/>
      <c r="G930" s="386">
        <f>'prévision 2017'!H932</f>
        <v>210750</v>
      </c>
      <c r="H930" s="158"/>
    </row>
    <row r="931" spans="1:8" ht="30" customHeight="1">
      <c r="A931" s="165" t="s">
        <v>115</v>
      </c>
      <c r="B931" s="463">
        <v>1205</v>
      </c>
      <c r="C931" s="412" t="s">
        <v>499</v>
      </c>
      <c r="D931" s="379" t="s">
        <v>463</v>
      </c>
      <c r="F931" s="520">
        <f>SUM(F927:F928)</f>
        <v>848800</v>
      </c>
      <c r="G931" s="520">
        <f>SUM(G927:G928)</f>
        <v>210750</v>
      </c>
      <c r="H931" s="414">
        <f>SUM(H927:H928)</f>
        <v>848800</v>
      </c>
    </row>
    <row r="932" spans="1:7" ht="30" customHeight="1">
      <c r="A932" s="165" t="s">
        <v>115</v>
      </c>
      <c r="B932" s="463">
        <v>1206</v>
      </c>
      <c r="C932" s="440" t="s">
        <v>136</v>
      </c>
      <c r="D932" s="445"/>
      <c r="F932" s="386"/>
      <c r="G932" s="596"/>
    </row>
    <row r="933" spans="1:8" ht="30" customHeight="1">
      <c r="A933" s="165" t="s">
        <v>115</v>
      </c>
      <c r="B933" s="463">
        <v>1206</v>
      </c>
      <c r="C933" s="384" t="s">
        <v>500</v>
      </c>
      <c r="D933" s="365">
        <v>6611</v>
      </c>
      <c r="E933" s="368" t="s">
        <v>6</v>
      </c>
      <c r="F933" s="386">
        <f>'prévision 2017'!I934</f>
        <v>240000000</v>
      </c>
      <c r="G933" s="386">
        <f>'prévision 2017'!H934</f>
        <v>229901679.80999997</v>
      </c>
      <c r="H933" s="158">
        <f>'prévision 2017'!G934</f>
        <v>240000000</v>
      </c>
    </row>
    <row r="934" spans="1:8" ht="30" customHeight="1">
      <c r="A934" s="165" t="s">
        <v>115</v>
      </c>
      <c r="B934" s="463">
        <v>1206</v>
      </c>
      <c r="C934" s="384" t="s">
        <v>500</v>
      </c>
      <c r="D934" s="365">
        <v>60100</v>
      </c>
      <c r="E934" s="368" t="s">
        <v>7</v>
      </c>
      <c r="F934" s="386">
        <f>'prévision 2017'!I935</f>
        <v>1715000</v>
      </c>
      <c r="G934" s="386">
        <f>'prévision 2017'!H935</f>
        <v>410250</v>
      </c>
      <c r="H934" s="158">
        <f>'prévision 2017'!G935</f>
        <v>1715000</v>
      </c>
    </row>
    <row r="935" spans="1:8" ht="30" customHeight="1">
      <c r="A935" s="165" t="s">
        <v>115</v>
      </c>
      <c r="B935" s="463">
        <v>1206</v>
      </c>
      <c r="C935" s="384" t="s">
        <v>500</v>
      </c>
      <c r="D935" s="365">
        <v>60101</v>
      </c>
      <c r="E935" s="368" t="s">
        <v>297</v>
      </c>
      <c r="F935" s="386">
        <f>'prévision 2017'!I936</f>
        <v>0</v>
      </c>
      <c r="G935" s="386">
        <f>'prévision 2017'!H936</f>
        <v>0</v>
      </c>
      <c r="H935" s="158">
        <f>'prévision 2017'!G936</f>
        <v>0</v>
      </c>
    </row>
    <row r="936" spans="1:8" ht="30" customHeight="1">
      <c r="A936" s="165" t="s">
        <v>115</v>
      </c>
      <c r="B936" s="463">
        <v>1206</v>
      </c>
      <c r="C936" s="384" t="s">
        <v>500</v>
      </c>
      <c r="D936" s="365">
        <v>6133</v>
      </c>
      <c r="E936" s="368" t="s">
        <v>110</v>
      </c>
      <c r="F936" s="386">
        <f>'prévision 2017'!I937</f>
        <v>3065000</v>
      </c>
      <c r="G936" s="386">
        <f>'prévision 2017'!H937</f>
        <v>0</v>
      </c>
      <c r="H936" s="158">
        <f>'prévision 2017'!G937</f>
        <v>3065000</v>
      </c>
    </row>
    <row r="937" spans="1:8" ht="30" customHeight="1">
      <c r="A937" s="165" t="s">
        <v>115</v>
      </c>
      <c r="B937" s="463">
        <v>1206</v>
      </c>
      <c r="C937" s="384" t="s">
        <v>500</v>
      </c>
      <c r="D937" s="365">
        <v>6122</v>
      </c>
      <c r="E937" s="389" t="s">
        <v>582</v>
      </c>
      <c r="F937" s="386">
        <f>'prévision 2017'!I938</f>
        <v>976000</v>
      </c>
      <c r="G937" s="386">
        <f>'prévision 2017'!H938</f>
        <v>0</v>
      </c>
      <c r="H937" s="158">
        <f>'prévision 2017'!G938</f>
        <v>976000</v>
      </c>
    </row>
    <row r="938" spans="1:8" ht="30" customHeight="1">
      <c r="A938" s="165" t="s">
        <v>115</v>
      </c>
      <c r="B938" s="463">
        <v>1206</v>
      </c>
      <c r="C938" s="384" t="s">
        <v>500</v>
      </c>
      <c r="D938" s="365">
        <v>6112</v>
      </c>
      <c r="E938" s="368" t="s">
        <v>236</v>
      </c>
      <c r="F938" s="386">
        <f>'prévision 2017'!I939</f>
        <v>0</v>
      </c>
      <c r="G938" s="386">
        <f>'prévision 2017'!H939</f>
        <v>0</v>
      </c>
      <c r="H938" s="158">
        <f>'prévision 2017'!G939</f>
        <v>0</v>
      </c>
    </row>
    <row r="939" spans="1:8" ht="30" customHeight="1">
      <c r="A939" s="165" t="s">
        <v>115</v>
      </c>
      <c r="B939" s="463">
        <v>1206</v>
      </c>
      <c r="C939" s="384" t="s">
        <v>500</v>
      </c>
      <c r="D939" s="365">
        <v>2121</v>
      </c>
      <c r="E939" s="368" t="s">
        <v>590</v>
      </c>
      <c r="F939" s="386">
        <f>'prévision 2017'!I940</f>
        <v>0</v>
      </c>
      <c r="G939" s="386">
        <f>'prévision 2017'!H940</f>
        <v>0</v>
      </c>
      <c r="H939" s="158">
        <f>'prévision 2017'!G940</f>
        <v>0</v>
      </c>
    </row>
    <row r="940" spans="1:8" ht="30" customHeight="1">
      <c r="A940" s="165" t="s">
        <v>115</v>
      </c>
      <c r="B940" s="463">
        <v>1206</v>
      </c>
      <c r="C940" s="384" t="s">
        <v>500</v>
      </c>
      <c r="D940" s="365">
        <v>2164</v>
      </c>
      <c r="E940" s="368" t="s">
        <v>283</v>
      </c>
      <c r="F940" s="386">
        <f>'prévision 2017'!I941</f>
        <v>0</v>
      </c>
      <c r="G940" s="386">
        <f>'prévision 2017'!H941</f>
        <v>0</v>
      </c>
      <c r="H940" s="158">
        <f>'prévision 2017'!G942</f>
        <v>0</v>
      </c>
    </row>
    <row r="941" spans="1:8" ht="30" customHeight="1">
      <c r="A941" s="165" t="s">
        <v>115</v>
      </c>
      <c r="B941" s="463">
        <v>1206</v>
      </c>
      <c r="C941" s="384" t="s">
        <v>500</v>
      </c>
      <c r="D941" s="365">
        <v>2171</v>
      </c>
      <c r="E941" s="368" t="s">
        <v>284</v>
      </c>
      <c r="F941" s="386">
        <f>'prévision 2017'!I942</f>
        <v>0</v>
      </c>
      <c r="G941" s="386">
        <f>'prévision 2017'!H942</f>
        <v>0</v>
      </c>
      <c r="H941" s="158"/>
    </row>
    <row r="942" spans="1:8" ht="30" customHeight="1">
      <c r="A942" s="165" t="s">
        <v>115</v>
      </c>
      <c r="B942" s="463">
        <v>1206</v>
      </c>
      <c r="C942" s="412" t="s">
        <v>500</v>
      </c>
      <c r="D942" s="379" t="s">
        <v>463</v>
      </c>
      <c r="F942" s="520">
        <f>SUM(F933:F940)</f>
        <v>245756000</v>
      </c>
      <c r="G942" s="520">
        <f>SUM(G933:G940)</f>
        <v>230311929.80999997</v>
      </c>
      <c r="H942" s="166">
        <f>SUM(H933:H940)</f>
        <v>245756000</v>
      </c>
    </row>
    <row r="943" spans="1:7" ht="30" customHeight="1">
      <c r="A943" s="165" t="s">
        <v>115</v>
      </c>
      <c r="B943" s="463">
        <v>1209</v>
      </c>
      <c r="C943" s="440" t="s">
        <v>139</v>
      </c>
      <c r="D943" s="365"/>
      <c r="E943" s="368"/>
      <c r="F943" s="386"/>
      <c r="G943" s="596"/>
    </row>
    <row r="944" spans="1:8" ht="30" customHeight="1">
      <c r="A944" s="165" t="s">
        <v>115</v>
      </c>
      <c r="B944" s="463">
        <v>1209</v>
      </c>
      <c r="C944" s="384" t="s">
        <v>493</v>
      </c>
      <c r="D944" s="365">
        <v>6611</v>
      </c>
      <c r="E944" s="368" t="s">
        <v>6</v>
      </c>
      <c r="F944" s="386">
        <f>'prévision 2017'!I945</f>
        <v>0</v>
      </c>
      <c r="G944" s="596"/>
      <c r="H944" s="158">
        <f>'prévision 2017'!G945</f>
        <v>0</v>
      </c>
    </row>
    <row r="945" spans="1:8" ht="30" customHeight="1">
      <c r="A945" s="165" t="s">
        <v>115</v>
      </c>
      <c r="B945" s="463">
        <v>1209</v>
      </c>
      <c r="C945" s="384" t="s">
        <v>493</v>
      </c>
      <c r="D945" s="365">
        <v>6311</v>
      </c>
      <c r="E945" s="368" t="s">
        <v>271</v>
      </c>
      <c r="F945" s="386">
        <f>'prévision 2017'!I946</f>
        <v>4050000</v>
      </c>
      <c r="G945" s="386">
        <f>'prévision 2017'!H946</f>
        <v>4050000</v>
      </c>
      <c r="H945" s="158">
        <f>'prévision 2017'!G946</f>
        <v>4050000</v>
      </c>
    </row>
    <row r="946" spans="1:8" ht="30" customHeight="1">
      <c r="A946" s="165" t="s">
        <v>115</v>
      </c>
      <c r="B946" s="463">
        <v>1209</v>
      </c>
      <c r="C946" s="412" t="s">
        <v>493</v>
      </c>
      <c r="D946" s="379" t="s">
        <v>463</v>
      </c>
      <c r="F946" s="520">
        <f>SUM(F944:F945)</f>
        <v>4050000</v>
      </c>
      <c r="G946" s="520">
        <f>SUM(G944:G945)</f>
        <v>4050000</v>
      </c>
      <c r="H946" s="414">
        <f>SUM(H944:H945)</f>
        <v>4050000</v>
      </c>
    </row>
    <row r="947" spans="1:7" ht="30" customHeight="1">
      <c r="A947" s="165" t="s">
        <v>115</v>
      </c>
      <c r="B947" s="463">
        <v>1210</v>
      </c>
      <c r="C947" s="440" t="s">
        <v>140</v>
      </c>
      <c r="D947" s="434"/>
      <c r="F947" s="386"/>
      <c r="G947" s="596"/>
    </row>
    <row r="948" spans="1:8" ht="30" customHeight="1">
      <c r="A948" s="165" t="s">
        <v>115</v>
      </c>
      <c r="B948" s="463">
        <v>1210</v>
      </c>
      <c r="C948" s="384" t="s">
        <v>502</v>
      </c>
      <c r="D948" s="365">
        <v>6611</v>
      </c>
      <c r="E948" s="368" t="s">
        <v>6</v>
      </c>
      <c r="F948" s="386">
        <f>'prévision 2017'!I949</f>
        <v>64788004</v>
      </c>
      <c r="G948" s="386">
        <f>'prévision 2017'!H949</f>
        <v>61727867</v>
      </c>
      <c r="H948" s="158">
        <f>'prévision 2017'!G949</f>
        <v>64788004</v>
      </c>
    </row>
    <row r="949" spans="1:8" ht="30" customHeight="1">
      <c r="A949" s="165" t="s">
        <v>115</v>
      </c>
      <c r="B949" s="463">
        <v>1210</v>
      </c>
      <c r="C949" s="384" t="s">
        <v>502</v>
      </c>
      <c r="D949" s="365">
        <v>6311</v>
      </c>
      <c r="E949" s="368" t="s">
        <v>271</v>
      </c>
      <c r="F949" s="386">
        <f>'prévision 2017'!I950</f>
        <v>5000000</v>
      </c>
      <c r="G949" s="386">
        <f>'prévision 2017'!H950</f>
        <v>3750000</v>
      </c>
      <c r="H949" s="428">
        <f>'prévision 2017'!G950</f>
        <v>5000000</v>
      </c>
    </row>
    <row r="950" spans="1:8" ht="30" customHeight="1">
      <c r="A950" s="165" t="s">
        <v>115</v>
      </c>
      <c r="B950" s="463">
        <v>1210</v>
      </c>
      <c r="C950" s="384" t="s">
        <v>502</v>
      </c>
      <c r="D950" s="379" t="s">
        <v>463</v>
      </c>
      <c r="F950" s="520">
        <f>SUM(F948:F949)</f>
        <v>69788004</v>
      </c>
      <c r="G950" s="520">
        <f>SUM(G948:G949)</f>
        <v>65477867</v>
      </c>
      <c r="H950" s="414">
        <f>SUM(H948:H949)</f>
        <v>69788004</v>
      </c>
    </row>
    <row r="951" spans="1:7" ht="30" customHeight="1">
      <c r="A951" s="165" t="s">
        <v>115</v>
      </c>
      <c r="B951" s="463">
        <v>1211</v>
      </c>
      <c r="C951" s="478" t="s">
        <v>141</v>
      </c>
      <c r="F951" s="386"/>
      <c r="G951" s="596"/>
    </row>
    <row r="952" spans="1:8" ht="30" customHeight="1">
      <c r="A952" s="165" t="s">
        <v>115</v>
      </c>
      <c r="B952" s="463">
        <v>1211</v>
      </c>
      <c r="C952" s="384" t="s">
        <v>503</v>
      </c>
      <c r="D952" s="365">
        <v>6311</v>
      </c>
      <c r="E952" s="368" t="s">
        <v>271</v>
      </c>
      <c r="F952" s="386">
        <f>'prévision 2017'!I953</f>
        <v>3000000</v>
      </c>
      <c r="G952" s="386">
        <f>'prévision 2017'!H953</f>
        <v>0</v>
      </c>
      <c r="H952" s="158">
        <f>'prévision 2017'!G953</f>
        <v>3000000</v>
      </c>
    </row>
    <row r="953" spans="1:8" ht="30" customHeight="1">
      <c r="A953" s="165" t="s">
        <v>115</v>
      </c>
      <c r="B953" s="463">
        <v>1211</v>
      </c>
      <c r="C953" s="384" t="s">
        <v>503</v>
      </c>
      <c r="D953" s="365">
        <v>6312</v>
      </c>
      <c r="E953" s="368" t="s">
        <v>270</v>
      </c>
      <c r="F953" s="386">
        <f>'prévision 2017'!I954</f>
        <v>104766396</v>
      </c>
      <c r="G953" s="386">
        <f>'prévision 2017'!H954</f>
        <v>91452267</v>
      </c>
      <c r="H953" s="158">
        <f>'prévision 2017'!G954</f>
        <v>104766396</v>
      </c>
    </row>
    <row r="954" spans="1:8" ht="30" customHeight="1">
      <c r="A954" s="165" t="s">
        <v>115</v>
      </c>
      <c r="B954" s="463">
        <v>1211</v>
      </c>
      <c r="C954" s="412" t="s">
        <v>503</v>
      </c>
      <c r="D954" s="379" t="s">
        <v>463</v>
      </c>
      <c r="F954" s="520">
        <f>SUM(F952:F953)</f>
        <v>107766396</v>
      </c>
      <c r="G954" s="520">
        <f>SUM(G952:G953)</f>
        <v>91452267</v>
      </c>
      <c r="H954" s="166">
        <f>SUM(H952:H953)</f>
        <v>107766396</v>
      </c>
    </row>
    <row r="955" spans="1:7" ht="30" customHeight="1">
      <c r="A955" s="165" t="s">
        <v>115</v>
      </c>
      <c r="B955" s="463">
        <v>1212</v>
      </c>
      <c r="C955" s="441" t="s">
        <v>142</v>
      </c>
      <c r="D955" s="443"/>
      <c r="F955" s="386"/>
      <c r="G955" s="596"/>
    </row>
    <row r="956" spans="1:8" ht="30" customHeight="1">
      <c r="A956" s="165" t="s">
        <v>115</v>
      </c>
      <c r="B956" s="463">
        <v>1212</v>
      </c>
      <c r="C956" s="384" t="s">
        <v>504</v>
      </c>
      <c r="D956" s="403">
        <v>6311</v>
      </c>
      <c r="E956" s="447" t="s">
        <v>271</v>
      </c>
      <c r="F956" s="386">
        <f>'prévision 2017'!I957</f>
        <v>1487172683.49</v>
      </c>
      <c r="G956" s="386">
        <f>'prévision 2017'!H957</f>
        <v>1487172683</v>
      </c>
      <c r="H956" s="158">
        <f>'prévision 2017'!G957</f>
        <v>903172683.49</v>
      </c>
    </row>
    <row r="957" spans="1:8" ht="30" customHeight="1">
      <c r="A957" s="165" t="s">
        <v>115</v>
      </c>
      <c r="B957" s="463">
        <v>1212</v>
      </c>
      <c r="C957" s="412" t="s">
        <v>504</v>
      </c>
      <c r="D957" s="379" t="s">
        <v>463</v>
      </c>
      <c r="F957" s="520">
        <f>SUM(F956:F956)</f>
        <v>1487172683.49</v>
      </c>
      <c r="G957" s="520">
        <f>SUM(G956:G956)</f>
        <v>1487172683</v>
      </c>
      <c r="H957" s="414">
        <f>SUM(H956:H956)</f>
        <v>903172683.49</v>
      </c>
    </row>
    <row r="958" spans="1:7" ht="30" customHeight="1">
      <c r="A958" s="165" t="s">
        <v>115</v>
      </c>
      <c r="B958" s="463">
        <v>1213</v>
      </c>
      <c r="C958" s="440" t="s">
        <v>143</v>
      </c>
      <c r="D958" s="434"/>
      <c r="F958" s="386"/>
      <c r="G958" s="596"/>
    </row>
    <row r="959" spans="1:9" ht="30" customHeight="1">
      <c r="A959" s="165" t="s">
        <v>115</v>
      </c>
      <c r="B959" s="463">
        <v>1213</v>
      </c>
      <c r="C959" s="384" t="s">
        <v>503</v>
      </c>
      <c r="D959" s="403">
        <v>6311</v>
      </c>
      <c r="E959" s="447" t="s">
        <v>271</v>
      </c>
      <c r="F959" s="386">
        <f>'prévision 2017'!I961</f>
        <v>2000000</v>
      </c>
      <c r="G959" s="386">
        <f>'prévision 2017'!H961</f>
        <v>0</v>
      </c>
      <c r="H959" s="158">
        <f>'prévision 2017'!G961</f>
        <v>2000000</v>
      </c>
      <c r="I959" s="158"/>
    </row>
    <row r="960" spans="1:8" ht="30" customHeight="1">
      <c r="A960" s="165" t="s">
        <v>115</v>
      </c>
      <c r="B960" s="463">
        <v>1213</v>
      </c>
      <c r="C960" s="384" t="s">
        <v>503</v>
      </c>
      <c r="D960" s="403">
        <v>6312</v>
      </c>
      <c r="E960" s="447" t="s">
        <v>270</v>
      </c>
      <c r="F960" s="386">
        <f>'prévision 2017'!I962</f>
        <v>41424804</v>
      </c>
      <c r="G960" s="386">
        <f>'prévision 2017'!H962</f>
        <v>37973067</v>
      </c>
      <c r="H960" s="158">
        <f>'prévision 2017'!G962</f>
        <v>41424804</v>
      </c>
    </row>
    <row r="961" spans="1:8" ht="30" customHeight="1">
      <c r="A961" s="165" t="s">
        <v>115</v>
      </c>
      <c r="B961" s="463">
        <v>1213</v>
      </c>
      <c r="C961" s="412" t="s">
        <v>503</v>
      </c>
      <c r="D961" s="379" t="s">
        <v>463</v>
      </c>
      <c r="F961" s="520">
        <f>SUM(F959:F960)</f>
        <v>43424804</v>
      </c>
      <c r="G961" s="520">
        <f>SUM(G959:G960)</f>
        <v>37973067</v>
      </c>
      <c r="H961" s="414">
        <f>SUM(H959:H960)</f>
        <v>43424804</v>
      </c>
    </row>
    <row r="962" spans="1:7" ht="30" customHeight="1">
      <c r="A962" s="165" t="s">
        <v>115</v>
      </c>
      <c r="B962" s="463">
        <v>1214</v>
      </c>
      <c r="C962" s="440" t="s">
        <v>144</v>
      </c>
      <c r="D962" s="434"/>
      <c r="E962" s="434"/>
      <c r="F962" s="386"/>
      <c r="G962" s="596"/>
    </row>
    <row r="963" spans="1:8" ht="30" customHeight="1">
      <c r="A963" s="165" t="s">
        <v>115</v>
      </c>
      <c r="B963" s="463">
        <v>1214</v>
      </c>
      <c r="C963" s="384" t="s">
        <v>499</v>
      </c>
      <c r="D963" s="365">
        <v>6611</v>
      </c>
      <c r="E963" s="368" t="s">
        <v>6</v>
      </c>
      <c r="F963" s="386">
        <f>'prévision 2017'!I965</f>
        <v>20566404</v>
      </c>
      <c r="G963" s="386">
        <f>'prévision 2017'!H965</f>
        <v>12183600.42</v>
      </c>
      <c r="H963" s="158">
        <f>'prévision 2017'!G965</f>
        <v>20566404</v>
      </c>
    </row>
    <row r="964" spans="1:8" ht="30" customHeight="1">
      <c r="A964" s="165" t="s">
        <v>115</v>
      </c>
      <c r="B964" s="463">
        <v>1214</v>
      </c>
      <c r="C964" s="384" t="s">
        <v>499</v>
      </c>
      <c r="D964" s="365">
        <v>60100</v>
      </c>
      <c r="E964" s="368" t="s">
        <v>7</v>
      </c>
      <c r="F964" s="386">
        <f>'prévision 2017'!I966</f>
        <v>1500000</v>
      </c>
      <c r="G964" s="386">
        <f>'prévision 2017'!H966</f>
        <v>375000</v>
      </c>
      <c r="H964" s="158">
        <f>'prévision 2017'!G966</f>
        <v>1500000</v>
      </c>
    </row>
    <row r="965" spans="1:8" ht="30" customHeight="1">
      <c r="A965" s="165" t="s">
        <v>115</v>
      </c>
      <c r="B965" s="463">
        <v>1214</v>
      </c>
      <c r="C965" s="384" t="s">
        <v>499</v>
      </c>
      <c r="D965" s="365">
        <v>60101</v>
      </c>
      <c r="E965" s="368" t="s">
        <v>297</v>
      </c>
      <c r="F965" s="386">
        <f>'prévision 2017'!I967</f>
        <v>0</v>
      </c>
      <c r="G965" s="386">
        <f>'prévision 2017'!H967</f>
        <v>0</v>
      </c>
      <c r="H965" s="158">
        <f>'prévision 2017'!G967</f>
        <v>0</v>
      </c>
    </row>
    <row r="966" spans="1:8" ht="30" customHeight="1">
      <c r="A966" s="165" t="s">
        <v>115</v>
      </c>
      <c r="B966" s="463">
        <v>1214</v>
      </c>
      <c r="C966" s="384" t="s">
        <v>499</v>
      </c>
      <c r="D966" s="365">
        <v>6122</v>
      </c>
      <c r="E966" s="389" t="s">
        <v>582</v>
      </c>
      <c r="F966" s="386">
        <f>'prévision 2017'!I968</f>
        <v>750000</v>
      </c>
      <c r="G966" s="386">
        <f>'prévision 2017'!H968</f>
        <v>187500</v>
      </c>
      <c r="H966" s="158">
        <f>'prévision 2017'!G968</f>
        <v>750000</v>
      </c>
    </row>
    <row r="967" spans="1:8" ht="30" customHeight="1">
      <c r="A967" s="165" t="s">
        <v>115</v>
      </c>
      <c r="B967" s="463">
        <v>1214</v>
      </c>
      <c r="C967" s="384" t="s">
        <v>499</v>
      </c>
      <c r="D967" s="365">
        <v>6112</v>
      </c>
      <c r="E967" s="368" t="s">
        <v>236</v>
      </c>
      <c r="F967" s="386">
        <f>'prévision 2017'!I969</f>
        <v>0</v>
      </c>
      <c r="G967" s="386">
        <f>'prévision 2017'!H969</f>
        <v>0</v>
      </c>
      <c r="H967" s="158">
        <f>'prévision 2017'!G969</f>
        <v>0</v>
      </c>
    </row>
    <row r="968" spans="1:8" ht="30" customHeight="1">
      <c r="A968" s="165" t="s">
        <v>115</v>
      </c>
      <c r="B968" s="463">
        <v>1214</v>
      </c>
      <c r="C968" s="384" t="s">
        <v>499</v>
      </c>
      <c r="D968" s="365">
        <v>6173</v>
      </c>
      <c r="E968" s="366" t="s">
        <v>599</v>
      </c>
      <c r="F968" s="386">
        <f>'prévision 2017'!I970</f>
        <v>0</v>
      </c>
      <c r="G968" s="386">
        <f>'prévision 2017'!H970</f>
        <v>0</v>
      </c>
      <c r="H968" s="158">
        <f>'prévision 2017'!G970</f>
        <v>0</v>
      </c>
    </row>
    <row r="969" spans="1:8" ht="30" customHeight="1">
      <c r="A969" s="165" t="s">
        <v>115</v>
      </c>
      <c r="B969" s="463">
        <v>1214</v>
      </c>
      <c r="C969" s="384" t="s">
        <v>499</v>
      </c>
      <c r="D969" s="365">
        <v>2121</v>
      </c>
      <c r="E969" s="368" t="s">
        <v>590</v>
      </c>
      <c r="F969" s="386">
        <f>'prévision 2017'!I971</f>
        <v>0</v>
      </c>
      <c r="G969" s="386">
        <f>'prévision 2017'!H971</f>
        <v>0</v>
      </c>
      <c r="H969" s="158">
        <f>'prévision 2017'!G971</f>
        <v>0</v>
      </c>
    </row>
    <row r="970" spans="1:8" ht="30" customHeight="1">
      <c r="A970" s="165" t="s">
        <v>115</v>
      </c>
      <c r="B970" s="463">
        <v>1214</v>
      </c>
      <c r="C970" s="384" t="s">
        <v>499</v>
      </c>
      <c r="D970" s="365">
        <v>2164</v>
      </c>
      <c r="E970" s="366" t="s">
        <v>296</v>
      </c>
      <c r="F970" s="386">
        <f>'prévision 2017'!I972</f>
        <v>0</v>
      </c>
      <c r="G970" s="386">
        <f>'prévision 2017'!H972</f>
        <v>0</v>
      </c>
      <c r="H970" s="158">
        <f>'prévision 2017'!G972</f>
        <v>0</v>
      </c>
    </row>
    <row r="971" spans="1:8" ht="30" customHeight="1">
      <c r="A971" s="165" t="s">
        <v>115</v>
      </c>
      <c r="B971" s="463">
        <v>1214</v>
      </c>
      <c r="C971" s="384" t="s">
        <v>499</v>
      </c>
      <c r="D971" s="365">
        <v>2162</v>
      </c>
      <c r="E971" s="366" t="s">
        <v>553</v>
      </c>
      <c r="F971" s="386">
        <f>'prévision 2017'!I973</f>
        <v>0</v>
      </c>
      <c r="G971" s="386">
        <f>'prévision 2017'!H973</f>
        <v>0</v>
      </c>
      <c r="H971" s="158">
        <f>'prévision 2017'!G973</f>
        <v>0</v>
      </c>
    </row>
    <row r="972" spans="1:8" ht="30" customHeight="1">
      <c r="A972" s="165" t="s">
        <v>115</v>
      </c>
      <c r="B972" s="463">
        <v>1214</v>
      </c>
      <c r="C972" s="412" t="s">
        <v>499</v>
      </c>
      <c r="D972" s="379" t="s">
        <v>463</v>
      </c>
      <c r="F972" s="520">
        <f>SUM(F963:F967)</f>
        <v>22816404</v>
      </c>
      <c r="G972" s="520">
        <f>SUM(G963:G967)</f>
        <v>12746100.42</v>
      </c>
      <c r="H972" s="166">
        <f>SUM(H963:H967)</f>
        <v>22816404</v>
      </c>
    </row>
    <row r="973" spans="1:7" ht="30" customHeight="1">
      <c r="A973" s="165" t="s">
        <v>115</v>
      </c>
      <c r="B973" s="463">
        <v>1215</v>
      </c>
      <c r="C973" s="384" t="s">
        <v>241</v>
      </c>
      <c r="F973" s="386"/>
      <c r="G973" s="596"/>
    </row>
    <row r="974" spans="1:8" ht="30" customHeight="1">
      <c r="A974" s="165" t="s">
        <v>115</v>
      </c>
      <c r="B974" s="463">
        <v>1215</v>
      </c>
      <c r="C974" s="384" t="s">
        <v>505</v>
      </c>
      <c r="D974" s="365">
        <v>6611</v>
      </c>
      <c r="E974" s="368" t="s">
        <v>6</v>
      </c>
      <c r="F974" s="386">
        <f>'prévision 2017'!I976</f>
        <v>5719992</v>
      </c>
      <c r="G974" s="386">
        <f>'prévision 2017'!H976</f>
        <v>18505598.55</v>
      </c>
      <c r="H974" s="158">
        <f>'prévision 2017'!G976</f>
        <v>5719992</v>
      </c>
    </row>
    <row r="975" spans="1:8" ht="30" customHeight="1">
      <c r="A975" s="165" t="s">
        <v>115</v>
      </c>
      <c r="B975" s="463">
        <v>1215</v>
      </c>
      <c r="C975" s="384" t="s">
        <v>505</v>
      </c>
      <c r="D975" s="365">
        <v>60100</v>
      </c>
      <c r="E975" s="368" t="s">
        <v>7</v>
      </c>
      <c r="F975" s="386">
        <f>'prévision 2017'!I977</f>
        <v>323000</v>
      </c>
      <c r="G975" s="386">
        <f>'prévision 2017'!H977</f>
        <v>80550</v>
      </c>
      <c r="H975" s="158">
        <f>'prévision 2017'!G977</f>
        <v>323000</v>
      </c>
    </row>
    <row r="976" spans="1:8" ht="30" customHeight="1">
      <c r="A976" s="165" t="s">
        <v>115</v>
      </c>
      <c r="B976" s="463">
        <v>1215</v>
      </c>
      <c r="C976" s="384" t="s">
        <v>505</v>
      </c>
      <c r="D976" s="365">
        <v>60101</v>
      </c>
      <c r="E976" s="368" t="s">
        <v>264</v>
      </c>
      <c r="F976" s="386">
        <f>'prévision 2017'!I978</f>
        <v>500000</v>
      </c>
      <c r="G976" s="386">
        <f>'prévision 2017'!H978</f>
        <v>125000</v>
      </c>
      <c r="H976" s="158">
        <f>'prévision 2017'!G978</f>
        <v>500000</v>
      </c>
    </row>
    <row r="977" spans="1:8" ht="30" customHeight="1">
      <c r="A977" s="165" t="s">
        <v>115</v>
      </c>
      <c r="B977" s="463">
        <v>1215</v>
      </c>
      <c r="C977" s="384" t="s">
        <v>505</v>
      </c>
      <c r="D977" s="365">
        <v>6122</v>
      </c>
      <c r="E977" s="389" t="s">
        <v>582</v>
      </c>
      <c r="F977" s="386">
        <f>'prévision 2017'!I979</f>
        <v>0</v>
      </c>
      <c r="G977" s="386">
        <f>'prévision 2017'!H979</f>
        <v>0</v>
      </c>
      <c r="H977" s="158">
        <f>'prévision 2017'!G979</f>
        <v>0</v>
      </c>
    </row>
    <row r="978" spans="1:8" ht="30" customHeight="1">
      <c r="A978" s="165" t="s">
        <v>115</v>
      </c>
      <c r="B978" s="463">
        <v>1215</v>
      </c>
      <c r="C978" s="384" t="s">
        <v>505</v>
      </c>
      <c r="D978" s="365">
        <v>6173</v>
      </c>
      <c r="E978" s="368" t="s">
        <v>224</v>
      </c>
      <c r="F978" s="386">
        <f>'prévision 2017'!I980</f>
        <v>0</v>
      </c>
      <c r="G978" s="386">
        <f>'prévision 2017'!H980</f>
        <v>0</v>
      </c>
      <c r="H978" s="158">
        <f>'prévision 2017'!G980</f>
        <v>0</v>
      </c>
    </row>
    <row r="979" spans="1:8" ht="30" customHeight="1">
      <c r="A979" s="165" t="s">
        <v>115</v>
      </c>
      <c r="B979" s="463">
        <v>1215</v>
      </c>
      <c r="C979" s="384" t="s">
        <v>505</v>
      </c>
      <c r="D979" s="365">
        <v>2164</v>
      </c>
      <c r="E979" s="366" t="s">
        <v>553</v>
      </c>
      <c r="F979" s="386">
        <f>'prévision 2017'!I981</f>
        <v>0</v>
      </c>
      <c r="G979" s="386">
        <f>'prévision 2017'!H981</f>
        <v>0</v>
      </c>
      <c r="H979" s="158">
        <f>'prévision 2017'!G981</f>
        <v>0</v>
      </c>
    </row>
    <row r="980" spans="1:8" ht="30" customHeight="1">
      <c r="A980" s="165" t="s">
        <v>115</v>
      </c>
      <c r="B980" s="463">
        <v>1215</v>
      </c>
      <c r="C980" s="384" t="s">
        <v>505</v>
      </c>
      <c r="D980" s="365">
        <v>2171</v>
      </c>
      <c r="E980" s="366" t="s">
        <v>284</v>
      </c>
      <c r="F980" s="386">
        <f>'prévision 2017'!I982</f>
        <v>0</v>
      </c>
      <c r="G980" s="386">
        <f>'prévision 2017'!H982</f>
        <v>0</v>
      </c>
      <c r="H980" s="158">
        <f>'prévision 2017'!G982</f>
        <v>0</v>
      </c>
    </row>
    <row r="981" spans="1:8" ht="30" customHeight="1">
      <c r="A981" s="165" t="s">
        <v>115</v>
      </c>
      <c r="B981" s="463">
        <v>1215</v>
      </c>
      <c r="C981" s="412" t="s">
        <v>505</v>
      </c>
      <c r="D981" s="379" t="s">
        <v>463</v>
      </c>
      <c r="F981" s="520">
        <f>SUM(F974:F980)</f>
        <v>6542992</v>
      </c>
      <c r="G981" s="520">
        <f>SUM(G974:G980)</f>
        <v>18711148.55</v>
      </c>
      <c r="H981" s="414">
        <f>SUM(H974:H980)</f>
        <v>6542992</v>
      </c>
    </row>
    <row r="982" spans="1:7" ht="30" customHeight="1">
      <c r="A982" s="165" t="s">
        <v>115</v>
      </c>
      <c r="B982" s="463">
        <v>1216</v>
      </c>
      <c r="C982" s="440" t="s">
        <v>145</v>
      </c>
      <c r="D982" s="434"/>
      <c r="F982" s="386"/>
      <c r="G982" s="596"/>
    </row>
    <row r="983" spans="1:8" ht="30" customHeight="1">
      <c r="A983" s="165" t="s">
        <v>115</v>
      </c>
      <c r="B983" s="463">
        <v>1216</v>
      </c>
      <c r="C983" s="384" t="s">
        <v>503</v>
      </c>
      <c r="D983" s="365">
        <v>6611</v>
      </c>
      <c r="E983" s="368" t="s">
        <v>6</v>
      </c>
      <c r="F983" s="386">
        <f>'prévision 2017'!I985</f>
        <v>20142600</v>
      </c>
      <c r="G983" s="386">
        <f>'prévision 2017'!H985</f>
        <v>17346133.200000003</v>
      </c>
      <c r="H983" s="158">
        <f>'prévision 2017'!G985</f>
        <v>20142600</v>
      </c>
    </row>
    <row r="984" spans="1:8" ht="30" customHeight="1">
      <c r="A984" s="165" t="s">
        <v>115</v>
      </c>
      <c r="B984" s="463">
        <v>1216</v>
      </c>
      <c r="C984" s="384" t="s">
        <v>503</v>
      </c>
      <c r="D984" s="365">
        <v>60100</v>
      </c>
      <c r="E984" s="368" t="s">
        <v>7</v>
      </c>
      <c r="F984" s="386">
        <f>'prévision 2017'!I986</f>
        <v>810000</v>
      </c>
      <c r="G984" s="386">
        <f>'prévision 2017'!H986</f>
        <v>202500</v>
      </c>
      <c r="H984" s="158">
        <f>'prévision 2017'!G986</f>
        <v>810000</v>
      </c>
    </row>
    <row r="985" spans="1:8" ht="30" customHeight="1">
      <c r="A985" s="165" t="s">
        <v>115</v>
      </c>
      <c r="B985" s="463">
        <v>1216</v>
      </c>
      <c r="C985" s="384" t="s">
        <v>503</v>
      </c>
      <c r="D985" s="365">
        <v>60101</v>
      </c>
      <c r="E985" s="368" t="s">
        <v>264</v>
      </c>
      <c r="F985" s="386">
        <f>'prévision 2017'!I987</f>
        <v>560000</v>
      </c>
      <c r="G985" s="386">
        <f>'prévision 2017'!H987</f>
        <v>132500</v>
      </c>
      <c r="H985" s="158">
        <f>'prévision 2017'!G987</f>
        <v>560000</v>
      </c>
    </row>
    <row r="986" spans="1:8" ht="30" customHeight="1">
      <c r="A986" s="165" t="s">
        <v>115</v>
      </c>
      <c r="B986" s="463">
        <v>1216</v>
      </c>
      <c r="C986" s="384" t="s">
        <v>503</v>
      </c>
      <c r="D986" s="365">
        <v>6122</v>
      </c>
      <c r="E986" s="389" t="s">
        <v>582</v>
      </c>
      <c r="F986" s="386">
        <f>'prévision 2017'!I988</f>
        <v>785000</v>
      </c>
      <c r="G986" s="386">
        <f>'prévision 2017'!H988</f>
        <v>195500</v>
      </c>
      <c r="H986" s="158">
        <f>'prévision 2017'!G988</f>
        <v>785000</v>
      </c>
    </row>
    <row r="987" spans="1:8" ht="30" customHeight="1">
      <c r="A987" s="165" t="s">
        <v>115</v>
      </c>
      <c r="B987" s="463">
        <v>1216</v>
      </c>
      <c r="C987" s="384" t="s">
        <v>503</v>
      </c>
      <c r="D987" s="365">
        <v>6112</v>
      </c>
      <c r="E987" s="368" t="s">
        <v>236</v>
      </c>
      <c r="F987" s="386">
        <f>'prévision 2017'!I989</f>
        <v>0</v>
      </c>
      <c r="G987" s="386">
        <f>'prévision 2017'!H989</f>
        <v>0</v>
      </c>
      <c r="H987" s="158">
        <f>'prévision 2017'!G989</f>
        <v>0</v>
      </c>
    </row>
    <row r="988" spans="1:8" ht="30" customHeight="1">
      <c r="A988" s="165" t="s">
        <v>115</v>
      </c>
      <c r="B988" s="463">
        <v>1216</v>
      </c>
      <c r="C988" s="384" t="s">
        <v>503</v>
      </c>
      <c r="D988" s="365">
        <v>2121</v>
      </c>
      <c r="E988" s="368" t="s">
        <v>590</v>
      </c>
      <c r="F988" s="386">
        <f>'prévision 2017'!I990</f>
        <v>0</v>
      </c>
      <c r="G988" s="386">
        <f>'prévision 2017'!H990</f>
        <v>0</v>
      </c>
      <c r="H988" s="158">
        <f>'prévision 2017'!G990</f>
        <v>0</v>
      </c>
    </row>
    <row r="989" spans="1:8" ht="30" customHeight="1">
      <c r="A989" s="165" t="s">
        <v>115</v>
      </c>
      <c r="B989" s="463">
        <v>1216</v>
      </c>
      <c r="C989" s="384" t="s">
        <v>503</v>
      </c>
      <c r="D989" s="365">
        <v>2164</v>
      </c>
      <c r="E989" s="366" t="s">
        <v>296</v>
      </c>
      <c r="F989" s="386">
        <f>'prévision 2017'!I991</f>
        <v>0</v>
      </c>
      <c r="G989" s="386">
        <f>'prévision 2017'!H991</f>
        <v>0</v>
      </c>
      <c r="H989" s="158">
        <f>'prévision 2017'!G991</f>
        <v>0</v>
      </c>
    </row>
    <row r="990" spans="1:8" ht="30" customHeight="1">
      <c r="A990" s="165" t="s">
        <v>115</v>
      </c>
      <c r="B990" s="463">
        <v>1216</v>
      </c>
      <c r="C990" s="384" t="s">
        <v>503</v>
      </c>
      <c r="D990" s="365">
        <v>2162</v>
      </c>
      <c r="E990" s="366" t="s">
        <v>553</v>
      </c>
      <c r="F990" s="386">
        <f>'prévision 2017'!I992</f>
        <v>0</v>
      </c>
      <c r="G990" s="386">
        <f>'prévision 2017'!H992</f>
        <v>0</v>
      </c>
      <c r="H990" s="158">
        <f>'prévision 2017'!G992</f>
        <v>0</v>
      </c>
    </row>
    <row r="991" spans="1:8" ht="30" customHeight="1">
      <c r="A991" s="165" t="s">
        <v>115</v>
      </c>
      <c r="B991" s="463">
        <v>1216</v>
      </c>
      <c r="C991" s="166" t="s">
        <v>503</v>
      </c>
      <c r="D991" s="379" t="s">
        <v>463</v>
      </c>
      <c r="F991" s="520">
        <f>SUM(F983:F990)</f>
        <v>22297600</v>
      </c>
      <c r="G991" s="520">
        <f>SUM(G983:G990)</f>
        <v>17876633.200000003</v>
      </c>
      <c r="H991" s="414">
        <f>SUM(H983:H990)</f>
        <v>22297600</v>
      </c>
    </row>
    <row r="992" spans="1:7" ht="30" customHeight="1">
      <c r="A992" s="165" t="s">
        <v>115</v>
      </c>
      <c r="B992" s="463">
        <v>1217</v>
      </c>
      <c r="C992" s="440" t="s">
        <v>146</v>
      </c>
      <c r="F992" s="386"/>
      <c r="G992" s="596"/>
    </row>
    <row r="993" spans="1:8" ht="30" customHeight="1">
      <c r="A993" s="165" t="s">
        <v>115</v>
      </c>
      <c r="B993" s="463">
        <v>1217</v>
      </c>
      <c r="C993" s="384" t="s">
        <v>499</v>
      </c>
      <c r="D993" s="365">
        <v>6611</v>
      </c>
      <c r="E993" s="368" t="s">
        <v>6</v>
      </c>
      <c r="F993" s="386">
        <f>'prévision 2017'!I995</f>
        <v>13646400</v>
      </c>
      <c r="G993" s="386">
        <f>'prévision 2017'!H995</f>
        <v>14625533.000000002</v>
      </c>
      <c r="H993" s="158">
        <f>'prévision 2017'!G995</f>
        <v>13646400</v>
      </c>
    </row>
    <row r="994" spans="1:8" ht="30" customHeight="1">
      <c r="A994" s="165" t="s">
        <v>115</v>
      </c>
      <c r="B994" s="463">
        <v>1217</v>
      </c>
      <c r="C994" s="384" t="s">
        <v>499</v>
      </c>
      <c r="D994" s="365">
        <v>60100</v>
      </c>
      <c r="E994" s="368" t="s">
        <v>47</v>
      </c>
      <c r="F994" s="386">
        <f>'prévision 2017'!I996</f>
        <v>1000000</v>
      </c>
      <c r="G994" s="386">
        <f>'prévision 2017'!H996</f>
        <v>0</v>
      </c>
      <c r="H994" s="158">
        <f>'prévision 2017'!G996</f>
        <v>1000000</v>
      </c>
    </row>
    <row r="995" spans="1:8" ht="30" customHeight="1">
      <c r="A995" s="165" t="s">
        <v>115</v>
      </c>
      <c r="B995" s="463">
        <v>1217</v>
      </c>
      <c r="C995" s="384" t="s">
        <v>499</v>
      </c>
      <c r="D995" s="365">
        <v>60101</v>
      </c>
      <c r="E995" s="368" t="s">
        <v>264</v>
      </c>
      <c r="F995" s="386">
        <f>'prévision 2017'!I997</f>
        <v>500000</v>
      </c>
      <c r="G995" s="386">
        <f>'prévision 2017'!H997</f>
        <v>125000</v>
      </c>
      <c r="H995" s="158">
        <f>'prévision 2017'!G997</f>
        <v>500000</v>
      </c>
    </row>
    <row r="996" spans="1:8" ht="30" customHeight="1">
      <c r="A996" s="165" t="s">
        <v>115</v>
      </c>
      <c r="B996" s="463">
        <v>1217</v>
      </c>
      <c r="C996" s="384" t="s">
        <v>499</v>
      </c>
      <c r="D996" s="365">
        <v>6122</v>
      </c>
      <c r="E996" s="389" t="s">
        <v>582</v>
      </c>
      <c r="F996" s="386">
        <f>'prévision 2017'!I998</f>
        <v>0</v>
      </c>
      <c r="G996" s="386">
        <f>'prévision 2017'!H998</f>
        <v>0</v>
      </c>
      <c r="H996" s="158">
        <f>'prévision 2017'!G998</f>
        <v>0</v>
      </c>
    </row>
    <row r="997" spans="1:8" ht="30" customHeight="1">
      <c r="A997" s="165" t="s">
        <v>115</v>
      </c>
      <c r="B997" s="463">
        <v>1217</v>
      </c>
      <c r="C997" s="384" t="s">
        <v>499</v>
      </c>
      <c r="D997" s="365">
        <v>6112</v>
      </c>
      <c r="E997" s="368" t="s">
        <v>240</v>
      </c>
      <c r="F997" s="386">
        <f>'prévision 2017'!I999</f>
        <v>500000</v>
      </c>
      <c r="G997" s="386">
        <f>'prévision 2017'!H999</f>
        <v>0</v>
      </c>
      <c r="H997" s="158">
        <f>'prévision 2017'!G999</f>
        <v>500000</v>
      </c>
    </row>
    <row r="998" spans="1:8" ht="30" customHeight="1">
      <c r="A998" s="165" t="s">
        <v>115</v>
      </c>
      <c r="B998" s="463">
        <v>1217</v>
      </c>
      <c r="C998" s="384" t="s">
        <v>499</v>
      </c>
      <c r="D998" s="365">
        <v>6173</v>
      </c>
      <c r="E998" s="368" t="s">
        <v>19</v>
      </c>
      <c r="F998" s="386">
        <f>'prévision 2017'!I1000</f>
        <v>0</v>
      </c>
      <c r="G998" s="386">
        <f>'prévision 2017'!H1000</f>
        <v>0</v>
      </c>
      <c r="H998" s="158">
        <f>'prévision 2017'!G1000</f>
        <v>0</v>
      </c>
    </row>
    <row r="999" spans="1:8" ht="30" customHeight="1">
      <c r="A999" s="165" t="s">
        <v>115</v>
      </c>
      <c r="B999" s="463">
        <v>1217</v>
      </c>
      <c r="C999" s="384" t="s">
        <v>499</v>
      </c>
      <c r="D999" s="365">
        <v>2121</v>
      </c>
      <c r="E999" s="368" t="s">
        <v>590</v>
      </c>
      <c r="F999" s="386">
        <f>'prévision 2017'!I1001</f>
        <v>0</v>
      </c>
      <c r="G999" s="386">
        <f>'prévision 2017'!H1001</f>
        <v>0</v>
      </c>
      <c r="H999" s="158">
        <f>'prévision 2017'!G1001</f>
        <v>0</v>
      </c>
    </row>
    <row r="1000" spans="1:8" ht="30" customHeight="1">
      <c r="A1000" s="165" t="s">
        <v>115</v>
      </c>
      <c r="B1000" s="463">
        <v>1217</v>
      </c>
      <c r="C1000" s="384" t="s">
        <v>499</v>
      </c>
      <c r="D1000" s="379" t="s">
        <v>463</v>
      </c>
      <c r="F1000" s="520">
        <f>SUM(F993:F999)</f>
        <v>15646400</v>
      </c>
      <c r="G1000" s="520">
        <f>SUM(G993:G999)</f>
        <v>14750533.000000002</v>
      </c>
      <c r="H1000" s="166">
        <f>SUM(H993:H999)</f>
        <v>15646400</v>
      </c>
    </row>
    <row r="1001" spans="1:7" ht="30" customHeight="1">
      <c r="A1001" s="165" t="s">
        <v>115</v>
      </c>
      <c r="B1001" s="463">
        <v>1218</v>
      </c>
      <c r="C1001" s="440" t="s">
        <v>147</v>
      </c>
      <c r="D1001" s="445"/>
      <c r="F1001" s="386"/>
      <c r="G1001" s="596"/>
    </row>
    <row r="1002" spans="1:8" ht="30" customHeight="1">
      <c r="A1002" s="165" t="s">
        <v>115</v>
      </c>
      <c r="B1002" s="463">
        <v>1218</v>
      </c>
      <c r="C1002" s="384" t="s">
        <v>504</v>
      </c>
      <c r="D1002" s="365">
        <v>6611</v>
      </c>
      <c r="E1002" s="368" t="s">
        <v>6</v>
      </c>
      <c r="F1002" s="386">
        <f>'prévision 2017'!I1004</f>
        <v>21751200</v>
      </c>
      <c r="G1002" s="386">
        <f>'prévision 2017'!H1004</f>
        <v>25147999.160000008</v>
      </c>
      <c r="H1002" s="158">
        <f>'prévision 2017'!G1004</f>
        <v>21751200</v>
      </c>
    </row>
    <row r="1003" spans="1:8" ht="30" customHeight="1">
      <c r="A1003" s="165" t="s">
        <v>115</v>
      </c>
      <c r="B1003" s="463">
        <v>1218</v>
      </c>
      <c r="C1003" s="384" t="s">
        <v>504</v>
      </c>
      <c r="D1003" s="365">
        <v>60100</v>
      </c>
      <c r="E1003" s="368" t="s">
        <v>7</v>
      </c>
      <c r="F1003" s="386">
        <f>'prévision 2017'!I1005</f>
        <v>810000</v>
      </c>
      <c r="G1003" s="386">
        <f>'prévision 2017'!H1005</f>
        <v>202400</v>
      </c>
      <c r="H1003" s="158">
        <f>'prévision 2017'!G1005</f>
        <v>810000</v>
      </c>
    </row>
    <row r="1004" spans="1:8" ht="30" customHeight="1">
      <c r="A1004" s="165" t="s">
        <v>115</v>
      </c>
      <c r="B1004" s="463">
        <v>1218</v>
      </c>
      <c r="C1004" s="384" t="s">
        <v>504</v>
      </c>
      <c r="D1004" s="365">
        <v>60101</v>
      </c>
      <c r="E1004" s="368" t="s">
        <v>297</v>
      </c>
      <c r="F1004" s="386">
        <f>'prévision 2017'!I1006</f>
        <v>0</v>
      </c>
      <c r="G1004" s="386">
        <f>'prévision 2017'!H1006</f>
        <v>0</v>
      </c>
      <c r="H1004" s="158">
        <f>'prévision 2017'!G1006</f>
        <v>0</v>
      </c>
    </row>
    <row r="1005" spans="1:8" ht="30" customHeight="1">
      <c r="A1005" s="165" t="s">
        <v>115</v>
      </c>
      <c r="B1005" s="463">
        <v>1218</v>
      </c>
      <c r="C1005" s="384" t="s">
        <v>504</v>
      </c>
      <c r="D1005" s="365">
        <v>6122</v>
      </c>
      <c r="E1005" s="389" t="s">
        <v>582</v>
      </c>
      <c r="F1005" s="386">
        <f>'prévision 2017'!I1007</f>
        <v>400000</v>
      </c>
      <c r="G1005" s="386">
        <f>'prévision 2017'!H1007</f>
        <v>99800</v>
      </c>
      <c r="H1005" s="158">
        <f>'prévision 2017'!G1007</f>
        <v>400000</v>
      </c>
    </row>
    <row r="1006" spans="1:8" ht="30" customHeight="1">
      <c r="A1006" s="165" t="s">
        <v>115</v>
      </c>
      <c r="B1006" s="463">
        <v>1218</v>
      </c>
      <c r="C1006" s="384" t="s">
        <v>504</v>
      </c>
      <c r="D1006" s="365">
        <v>6112</v>
      </c>
      <c r="E1006" s="368" t="s">
        <v>236</v>
      </c>
      <c r="F1006" s="386">
        <f>'prévision 2017'!I1008</f>
        <v>0</v>
      </c>
      <c r="G1006" s="386">
        <f>'prévision 2017'!H1008</f>
        <v>0</v>
      </c>
      <c r="H1006" s="158">
        <f>'prévision 2017'!G1008</f>
        <v>0</v>
      </c>
    </row>
    <row r="1007" spans="1:8" ht="30" customHeight="1">
      <c r="A1007" s="165" t="s">
        <v>115</v>
      </c>
      <c r="B1007" s="463">
        <v>1218</v>
      </c>
      <c r="C1007" s="384" t="s">
        <v>504</v>
      </c>
      <c r="D1007" s="365">
        <v>2121</v>
      </c>
      <c r="E1007" s="368" t="s">
        <v>590</v>
      </c>
      <c r="F1007" s="386">
        <f>'prévision 2017'!I1009</f>
        <v>145000000</v>
      </c>
      <c r="G1007" s="386">
        <f>'prévision 2017'!H1009</f>
        <v>0</v>
      </c>
      <c r="H1007" s="158">
        <f>'prévision 2017'!G1009</f>
        <v>145000000</v>
      </c>
    </row>
    <row r="1008" spans="1:8" ht="30" customHeight="1">
      <c r="A1008" s="165" t="s">
        <v>115</v>
      </c>
      <c r="B1008" s="463">
        <v>1218</v>
      </c>
      <c r="C1008" s="384" t="s">
        <v>504</v>
      </c>
      <c r="D1008" s="365">
        <v>2164</v>
      </c>
      <c r="E1008" s="366" t="s">
        <v>553</v>
      </c>
      <c r="F1008" s="386">
        <f>'prévision 2017'!I1010</f>
        <v>0</v>
      </c>
      <c r="G1008" s="386">
        <f>'prévision 2017'!H1010</f>
        <v>0</v>
      </c>
      <c r="H1008" s="158">
        <f>'prévision 2017'!G1010</f>
        <v>0</v>
      </c>
    </row>
    <row r="1009" spans="1:8" ht="30" customHeight="1">
      <c r="A1009" s="165" t="s">
        <v>115</v>
      </c>
      <c r="B1009" s="463">
        <v>1218</v>
      </c>
      <c r="C1009" s="384" t="s">
        <v>504</v>
      </c>
      <c r="D1009" s="365">
        <v>21221</v>
      </c>
      <c r="E1009" s="368" t="s">
        <v>654</v>
      </c>
      <c r="F1009" s="386">
        <f>'prévision 2017'!I1011</f>
        <v>200000000</v>
      </c>
      <c r="G1009" s="386">
        <f>'prévision 2017'!H1011</f>
        <v>0</v>
      </c>
      <c r="H1009" s="158">
        <f>'prévision 2017'!G1011</f>
        <v>200000000</v>
      </c>
    </row>
    <row r="1010" spans="1:8" ht="30" customHeight="1">
      <c r="A1010" s="165" t="s">
        <v>115</v>
      </c>
      <c r="B1010" s="463">
        <v>1218</v>
      </c>
      <c r="C1010" s="384" t="s">
        <v>504</v>
      </c>
      <c r="D1010" s="365">
        <v>21222</v>
      </c>
      <c r="E1010" s="368" t="s">
        <v>653</v>
      </c>
      <c r="F1010" s="386">
        <f>'prévision 2017'!I1012</f>
        <v>0</v>
      </c>
      <c r="G1010" s="386">
        <f>'prévision 2017'!H1012</f>
        <v>0</v>
      </c>
      <c r="H1010" s="158">
        <f>'prévision 2017'!G1012</f>
        <v>0</v>
      </c>
    </row>
    <row r="1011" spans="1:8" ht="30" customHeight="1">
      <c r="A1011" s="165" t="s">
        <v>115</v>
      </c>
      <c r="B1011" s="463">
        <v>1218</v>
      </c>
      <c r="C1011" s="412" t="s">
        <v>504</v>
      </c>
      <c r="D1011" s="480" t="s">
        <v>463</v>
      </c>
      <c r="E1011" s="447"/>
      <c r="F1011" s="520">
        <f>SUM(F1002:F1010)</f>
        <v>367961200</v>
      </c>
      <c r="G1011" s="520">
        <f>SUM(G1002:G1010)</f>
        <v>25450199.160000008</v>
      </c>
      <c r="H1011" s="166">
        <f>SUM(H1002:H1010)</f>
        <v>367961200</v>
      </c>
    </row>
    <row r="1012" spans="1:13" ht="30" customHeight="1">
      <c r="A1012" s="481" t="s">
        <v>115</v>
      </c>
      <c r="B1012" s="463">
        <v>1219</v>
      </c>
      <c r="C1012" s="482" t="s">
        <v>503</v>
      </c>
      <c r="D1012" s="483" t="s">
        <v>565</v>
      </c>
      <c r="E1012" s="484"/>
      <c r="F1012" s="386"/>
      <c r="G1012" s="596"/>
      <c r="H1012" s="486"/>
      <c r="I1012" s="485"/>
      <c r="J1012" s="486"/>
      <c r="K1012" s="184"/>
      <c r="L1012" s="48"/>
      <c r="M1012" s="4"/>
    </row>
    <row r="1013" spans="1:13" ht="30" customHeight="1">
      <c r="A1013" s="481" t="s">
        <v>115</v>
      </c>
      <c r="B1013" s="463">
        <v>1219</v>
      </c>
      <c r="C1013" s="482" t="s">
        <v>503</v>
      </c>
      <c r="D1013" s="365">
        <v>6611</v>
      </c>
      <c r="E1013" s="368" t="s">
        <v>6</v>
      </c>
      <c r="F1013" s="386">
        <f>'prévision 2017'!I1015</f>
        <v>0</v>
      </c>
      <c r="G1013" s="386">
        <f>'prévision 2017'!H1015</f>
        <v>0</v>
      </c>
      <c r="H1013" s="486">
        <f>'prévision 2017'!G1015</f>
        <v>0</v>
      </c>
      <c r="I1013" s="485"/>
      <c r="J1013" s="486"/>
      <c r="K1013" s="184"/>
      <c r="L1013" s="48"/>
      <c r="M1013" s="4"/>
    </row>
    <row r="1014" spans="1:13" ht="30" customHeight="1">
      <c r="A1014" s="481" t="s">
        <v>115</v>
      </c>
      <c r="B1014" s="463">
        <v>1219</v>
      </c>
      <c r="C1014" s="482" t="s">
        <v>503</v>
      </c>
      <c r="D1014" s="365">
        <v>60100</v>
      </c>
      <c r="E1014" s="368" t="s">
        <v>7</v>
      </c>
      <c r="F1014" s="386">
        <f>'prévision 2017'!I1016</f>
        <v>687500</v>
      </c>
      <c r="G1014" s="386">
        <f>'prévision 2017'!H1016</f>
        <v>171700</v>
      </c>
      <c r="H1014" s="485">
        <f>'prévision 2017'!G1016</f>
        <v>687500</v>
      </c>
      <c r="I1014" s="485"/>
      <c r="J1014" s="486"/>
      <c r="K1014" s="184"/>
      <c r="L1014" s="48"/>
      <c r="M1014" s="4"/>
    </row>
    <row r="1015" spans="1:13" ht="30" customHeight="1">
      <c r="A1015" s="481" t="s">
        <v>115</v>
      </c>
      <c r="B1015" s="463">
        <v>1219</v>
      </c>
      <c r="C1015" s="482" t="s">
        <v>503</v>
      </c>
      <c r="D1015" s="365">
        <v>60101</v>
      </c>
      <c r="E1015" s="368" t="s">
        <v>297</v>
      </c>
      <c r="F1015" s="386">
        <f>'prévision 2017'!I1017</f>
        <v>0</v>
      </c>
      <c r="G1015" s="386">
        <f>'prévision 2017'!H1017</f>
        <v>0</v>
      </c>
      <c r="H1015" s="485">
        <f>'prévision 2017'!G1017</f>
        <v>0</v>
      </c>
      <c r="I1015" s="485"/>
      <c r="J1015" s="486"/>
      <c r="K1015" s="184"/>
      <c r="L1015" s="48"/>
      <c r="M1015" s="4"/>
    </row>
    <row r="1016" spans="1:13" ht="30" customHeight="1">
      <c r="A1016" s="481" t="s">
        <v>115</v>
      </c>
      <c r="B1016" s="463">
        <v>1219</v>
      </c>
      <c r="C1016" s="482" t="s">
        <v>503</v>
      </c>
      <c r="D1016" s="365">
        <v>6122</v>
      </c>
      <c r="E1016" s="389" t="s">
        <v>582</v>
      </c>
      <c r="F1016" s="386">
        <f>'prévision 2017'!I1018</f>
        <v>0</v>
      </c>
      <c r="G1016" s="386">
        <f>'prévision 2017'!H1018</f>
        <v>0</v>
      </c>
      <c r="H1016" s="485">
        <f>'prévision 2017'!G1018</f>
        <v>0</v>
      </c>
      <c r="I1016" s="485"/>
      <c r="J1016" s="486"/>
      <c r="K1016" s="184"/>
      <c r="L1016" s="58"/>
      <c r="M1016" s="4"/>
    </row>
    <row r="1017" spans="1:13" ht="30" customHeight="1">
      <c r="A1017" s="481" t="s">
        <v>115</v>
      </c>
      <c r="B1017" s="463">
        <v>1219</v>
      </c>
      <c r="C1017" s="482" t="s">
        <v>503</v>
      </c>
      <c r="D1017" s="365">
        <v>6173</v>
      </c>
      <c r="E1017" s="368" t="s">
        <v>19</v>
      </c>
      <c r="F1017" s="386">
        <f>'prévision 2017'!I1019</f>
        <v>0</v>
      </c>
      <c r="G1017" s="386">
        <f>'prévision 2017'!H1019</f>
        <v>0</v>
      </c>
      <c r="H1017" s="485">
        <f>'prévision 2017'!G1019</f>
        <v>0</v>
      </c>
      <c r="I1017" s="485"/>
      <c r="J1017" s="486"/>
      <c r="K1017" s="184"/>
      <c r="L1017" s="58"/>
      <c r="M1017" s="4"/>
    </row>
    <row r="1018" spans="1:13" ht="30" customHeight="1">
      <c r="A1018" s="481" t="s">
        <v>115</v>
      </c>
      <c r="B1018" s="463">
        <v>1219</v>
      </c>
      <c r="C1018" s="482" t="s">
        <v>503</v>
      </c>
      <c r="D1018" s="365">
        <v>2164</v>
      </c>
      <c r="E1018" s="368" t="s">
        <v>566</v>
      </c>
      <c r="F1018" s="386">
        <f>'prévision 2017'!I1020</f>
        <v>0</v>
      </c>
      <c r="G1018" s="386">
        <f>'prévision 2017'!H1020</f>
        <v>0</v>
      </c>
      <c r="H1018" s="485">
        <f>'prévision 2017'!G1020</f>
        <v>0</v>
      </c>
      <c r="I1018" s="485"/>
      <c r="J1018" s="486"/>
      <c r="K1018" s="184"/>
      <c r="L1018" s="58"/>
      <c r="M1018" s="4"/>
    </row>
    <row r="1019" spans="1:13" ht="30" customHeight="1">
      <c r="A1019" s="481" t="s">
        <v>115</v>
      </c>
      <c r="B1019" s="463">
        <v>1219</v>
      </c>
      <c r="C1019" s="482" t="s">
        <v>503</v>
      </c>
      <c r="D1019" s="480" t="s">
        <v>463</v>
      </c>
      <c r="E1019" s="484"/>
      <c r="F1019" s="520">
        <f>SUM(F1013:F1018)</f>
        <v>687500</v>
      </c>
      <c r="G1019" s="520">
        <f>SUM(G1013:G1018)</f>
        <v>171700</v>
      </c>
      <c r="H1019" s="486">
        <f>SUM(H1013:H1018)</f>
        <v>687500</v>
      </c>
      <c r="I1019" s="486"/>
      <c r="J1019" s="486"/>
      <c r="K1019" s="48"/>
      <c r="L1019" s="48"/>
      <c r="M1019" s="4"/>
    </row>
    <row r="1020" spans="1:10" ht="30" customHeight="1">
      <c r="A1020" s="165" t="s">
        <v>115</v>
      </c>
      <c r="B1020" s="463" t="s">
        <v>72</v>
      </c>
      <c r="C1020" s="156"/>
      <c r="F1020" s="520">
        <f>F1019+F1011+F1000+F991+F981+F972+F961+F957+F954+F950+F946+F942+F931+F925+F919+F912+F898</f>
        <v>2682682663.49</v>
      </c>
      <c r="G1020" s="520">
        <f>G1019+G1011+G1000+G991+G981+G972+G961+G957+G954+G950+G946+G942+G931+G925+G919+G912+G898</f>
        <v>2199680748.35</v>
      </c>
      <c r="H1020" s="520">
        <f>H1019+H1011+H1000+H991+H981+H972+H961+H957+H954+H950+H946+H942+H931+H925+H919+H912+H898</f>
        <v>2098682663.49</v>
      </c>
      <c r="J1020" s="158"/>
    </row>
    <row r="1021" spans="1:8" ht="30" customHeight="1">
      <c r="A1021" s="387" t="s">
        <v>127</v>
      </c>
      <c r="B1021" s="463" t="s">
        <v>617</v>
      </c>
      <c r="C1021" s="443"/>
      <c r="D1021" s="169"/>
      <c r="E1021" s="169"/>
      <c r="F1021" s="386"/>
      <c r="G1021" s="620"/>
      <c r="H1021" s="169"/>
    </row>
    <row r="1022" spans="1:7" ht="30" customHeight="1">
      <c r="A1022" s="387" t="s">
        <v>127</v>
      </c>
      <c r="B1022" s="463">
        <v>1301</v>
      </c>
      <c r="C1022" s="433" t="s">
        <v>150</v>
      </c>
      <c r="D1022" s="168"/>
      <c r="F1022" s="386"/>
      <c r="G1022" s="596"/>
    </row>
    <row r="1023" spans="1:8" ht="30" customHeight="1">
      <c r="A1023" s="165" t="s">
        <v>127</v>
      </c>
      <c r="B1023" s="463">
        <v>1301</v>
      </c>
      <c r="C1023" s="384" t="s">
        <v>506</v>
      </c>
      <c r="D1023" s="365">
        <v>6611</v>
      </c>
      <c r="E1023" s="368" t="s">
        <v>6</v>
      </c>
      <c r="F1023" s="386">
        <f>'prévision 2017'!I1025</f>
        <v>57521873</v>
      </c>
      <c r="G1023" s="386">
        <f>'prévision 2017'!H1025</f>
        <v>268901369.41</v>
      </c>
      <c r="H1023" s="428">
        <f>'prévision 2017'!G1025</f>
        <v>57521873</v>
      </c>
    </row>
    <row r="1024" spans="1:8" ht="30" customHeight="1">
      <c r="A1024" s="165" t="s">
        <v>127</v>
      </c>
      <c r="B1024" s="463">
        <v>1301</v>
      </c>
      <c r="C1024" s="384" t="s">
        <v>506</v>
      </c>
      <c r="D1024" s="365">
        <v>60100</v>
      </c>
      <c r="E1024" s="368" t="s">
        <v>7</v>
      </c>
      <c r="F1024" s="386">
        <f>'prévision 2017'!I1026</f>
        <v>846000</v>
      </c>
      <c r="G1024" s="386">
        <f>'prévision 2017'!H1026</f>
        <v>421200</v>
      </c>
      <c r="H1024" s="428">
        <f>'prévision 2017'!G1026</f>
        <v>846000</v>
      </c>
    </row>
    <row r="1025" spans="1:8" ht="30" customHeight="1">
      <c r="A1025" s="165" t="s">
        <v>127</v>
      </c>
      <c r="B1025" s="463">
        <v>1301</v>
      </c>
      <c r="C1025" s="384" t="s">
        <v>506</v>
      </c>
      <c r="D1025" s="365">
        <v>60101</v>
      </c>
      <c r="E1025" s="368" t="s">
        <v>264</v>
      </c>
      <c r="F1025" s="386">
        <f>'prévision 2017'!I1027</f>
        <v>0</v>
      </c>
      <c r="G1025" s="386">
        <f>'prévision 2017'!H1027</f>
        <v>0</v>
      </c>
      <c r="H1025" s="428">
        <f>'prévision 2017'!G1027</f>
        <v>0</v>
      </c>
    </row>
    <row r="1026" spans="1:8" ht="30" customHeight="1">
      <c r="A1026" s="165" t="s">
        <v>127</v>
      </c>
      <c r="B1026" s="463">
        <v>1301</v>
      </c>
      <c r="C1026" s="384" t="s">
        <v>506</v>
      </c>
      <c r="D1026" s="365">
        <v>6122</v>
      </c>
      <c r="E1026" s="389" t="s">
        <v>582</v>
      </c>
      <c r="F1026" s="386">
        <f>'prévision 2017'!I1028</f>
        <v>800000</v>
      </c>
      <c r="G1026" s="386">
        <f>'prévision 2017'!H1028</f>
        <v>792500</v>
      </c>
      <c r="H1026" s="428">
        <f>'prévision 2017'!G1028</f>
        <v>800000</v>
      </c>
    </row>
    <row r="1027" spans="1:8" ht="30" customHeight="1">
      <c r="A1027" s="165" t="s">
        <v>127</v>
      </c>
      <c r="B1027" s="463">
        <v>1301</v>
      </c>
      <c r="C1027" s="384" t="s">
        <v>506</v>
      </c>
      <c r="D1027" s="365">
        <v>6133</v>
      </c>
      <c r="E1027" s="368" t="s">
        <v>110</v>
      </c>
      <c r="F1027" s="386">
        <f>'prévision 2017'!I1029</f>
        <v>0</v>
      </c>
      <c r="G1027" s="386">
        <f>'prévision 2017'!H1029</f>
        <v>0</v>
      </c>
      <c r="H1027" s="428">
        <f>'prévision 2017'!G1029</f>
        <v>0</v>
      </c>
    </row>
    <row r="1028" spans="1:8" ht="30" customHeight="1">
      <c r="A1028" s="165" t="s">
        <v>127</v>
      </c>
      <c r="B1028" s="463">
        <v>1301</v>
      </c>
      <c r="C1028" s="384" t="s">
        <v>506</v>
      </c>
      <c r="D1028" s="365">
        <v>6111</v>
      </c>
      <c r="E1028" s="368" t="s">
        <v>238</v>
      </c>
      <c r="F1028" s="386">
        <f>'prévision 2017'!I1030</f>
        <v>0</v>
      </c>
      <c r="G1028" s="386">
        <f>'prévision 2017'!H1030</f>
        <v>0</v>
      </c>
      <c r="H1028" s="428">
        <f>'prévision 2017'!G1030</f>
        <v>0</v>
      </c>
    </row>
    <row r="1029" spans="1:8" ht="30" customHeight="1">
      <c r="A1029" s="165" t="s">
        <v>127</v>
      </c>
      <c r="B1029" s="463">
        <v>1301</v>
      </c>
      <c r="C1029" s="384" t="s">
        <v>506</v>
      </c>
      <c r="D1029" s="365">
        <v>6175</v>
      </c>
      <c r="E1029" s="368" t="s">
        <v>13</v>
      </c>
      <c r="F1029" s="386">
        <f>'prévision 2017'!I1031</f>
        <v>891325</v>
      </c>
      <c r="G1029" s="386">
        <f>'prévision 2017'!H1031</f>
        <v>653247</v>
      </c>
      <c r="H1029" s="428">
        <f>'prévision 2017'!G1031</f>
        <v>891325</v>
      </c>
    </row>
    <row r="1030" spans="1:8" ht="30" customHeight="1">
      <c r="A1030" s="165" t="s">
        <v>127</v>
      </c>
      <c r="B1030" s="463">
        <v>1301</v>
      </c>
      <c r="C1030" s="384" t="s">
        <v>506</v>
      </c>
      <c r="D1030" s="365">
        <v>2171</v>
      </c>
      <c r="E1030" s="368" t="s">
        <v>284</v>
      </c>
      <c r="F1030" s="386">
        <f>'prévision 2017'!I1032</f>
        <v>0</v>
      </c>
      <c r="G1030" s="386">
        <f>'prévision 2017'!H1032</f>
        <v>0</v>
      </c>
      <c r="H1030" s="158">
        <f>'prévision 2017'!G1032</f>
        <v>0</v>
      </c>
    </row>
    <row r="1031" spans="1:8" ht="30" customHeight="1">
      <c r="A1031" s="165" t="s">
        <v>127</v>
      </c>
      <c r="B1031" s="463">
        <v>1301</v>
      </c>
      <c r="C1031" s="412" t="s">
        <v>506</v>
      </c>
      <c r="D1031" s="379" t="s">
        <v>463</v>
      </c>
      <c r="F1031" s="520">
        <f>SUM(F1023:F1030)</f>
        <v>60059198</v>
      </c>
      <c r="G1031" s="520">
        <f>SUM(G1023:G1030)</f>
        <v>270768316.41</v>
      </c>
      <c r="H1031" s="414">
        <f>SUM(H1023:H1030)</f>
        <v>60059198</v>
      </c>
    </row>
    <row r="1032" spans="1:7" ht="30" customHeight="1">
      <c r="A1032" s="165" t="s">
        <v>127</v>
      </c>
      <c r="B1032" s="463">
        <v>1302</v>
      </c>
      <c r="C1032" s="487" t="s">
        <v>66</v>
      </c>
      <c r="F1032" s="386"/>
      <c r="G1032" s="596"/>
    </row>
    <row r="1033" spans="1:8" ht="30" customHeight="1">
      <c r="A1033" s="165" t="s">
        <v>127</v>
      </c>
      <c r="B1033" s="463">
        <v>1302</v>
      </c>
      <c r="C1033" s="384" t="s">
        <v>506</v>
      </c>
      <c r="D1033" s="365">
        <v>6611</v>
      </c>
      <c r="E1033" s="368" t="s">
        <v>6</v>
      </c>
      <c r="F1033" s="386">
        <f>'prévision 2017'!I1035</f>
        <v>119443432</v>
      </c>
      <c r="G1033" s="386">
        <f>'prévision 2017'!H1035</f>
        <v>24046266.75</v>
      </c>
      <c r="H1033" s="158">
        <f>'prévision 2017'!G1035</f>
        <v>119443432</v>
      </c>
    </row>
    <row r="1034" spans="1:8" ht="30" customHeight="1">
      <c r="A1034" s="165" t="s">
        <v>127</v>
      </c>
      <c r="B1034" s="463">
        <v>1302</v>
      </c>
      <c r="C1034" s="384" t="s">
        <v>506</v>
      </c>
      <c r="D1034" s="365">
        <v>60100</v>
      </c>
      <c r="E1034" s="368" t="s">
        <v>7</v>
      </c>
      <c r="F1034" s="386">
        <f>'prévision 2017'!I1036</f>
        <v>500000</v>
      </c>
      <c r="G1034" s="386">
        <f>'prévision 2017'!H1036</f>
        <v>123000</v>
      </c>
      <c r="H1034" s="158">
        <f>'prévision 2017'!G1036</f>
        <v>500000</v>
      </c>
    </row>
    <row r="1035" spans="1:8" ht="30" customHeight="1">
      <c r="A1035" s="165" t="s">
        <v>127</v>
      </c>
      <c r="B1035" s="463">
        <v>1302</v>
      </c>
      <c r="C1035" s="384" t="s">
        <v>506</v>
      </c>
      <c r="D1035" s="365">
        <v>60101</v>
      </c>
      <c r="E1035" s="368" t="s">
        <v>255</v>
      </c>
      <c r="F1035" s="386">
        <f>'prévision 2017'!I1037</f>
        <v>0</v>
      </c>
      <c r="G1035" s="386">
        <f>'prévision 2017'!H1037</f>
        <v>0</v>
      </c>
      <c r="H1035" s="158">
        <f>'prévision 2017'!G1037</f>
        <v>0</v>
      </c>
    </row>
    <row r="1036" spans="1:8" ht="30" customHeight="1">
      <c r="A1036" s="165" t="s">
        <v>127</v>
      </c>
      <c r="B1036" s="463">
        <v>1302</v>
      </c>
      <c r="C1036" s="384" t="s">
        <v>506</v>
      </c>
      <c r="D1036" s="365">
        <v>6122</v>
      </c>
      <c r="E1036" s="389" t="s">
        <v>582</v>
      </c>
      <c r="F1036" s="386">
        <f>'prévision 2017'!I1038</f>
        <v>400000</v>
      </c>
      <c r="G1036" s="386">
        <f>'prévision 2017'!H1038</f>
        <v>0</v>
      </c>
      <c r="H1036" s="158">
        <f>'prévision 2017'!G1038</f>
        <v>400000</v>
      </c>
    </row>
    <row r="1037" spans="1:8" ht="30" customHeight="1">
      <c r="A1037" s="165" t="s">
        <v>127</v>
      </c>
      <c r="B1037" s="463">
        <v>1302</v>
      </c>
      <c r="C1037" s="384" t="s">
        <v>506</v>
      </c>
      <c r="D1037" s="365">
        <v>6175</v>
      </c>
      <c r="E1037" s="368" t="s">
        <v>13</v>
      </c>
      <c r="F1037" s="386">
        <f>'prévision 2017'!I1039</f>
        <v>0</v>
      </c>
      <c r="G1037" s="386">
        <f>'prévision 2017'!H1039</f>
        <v>0</v>
      </c>
      <c r="H1037" s="158">
        <f>'prévision 2017'!G1039</f>
        <v>0</v>
      </c>
    </row>
    <row r="1038" spans="1:8" ht="30" customHeight="1">
      <c r="A1038" s="165" t="s">
        <v>127</v>
      </c>
      <c r="B1038" s="463">
        <v>1302</v>
      </c>
      <c r="C1038" s="412" t="s">
        <v>506</v>
      </c>
      <c r="D1038" s="379" t="s">
        <v>463</v>
      </c>
      <c r="F1038" s="520">
        <f>SUM(F1033:F1037)</f>
        <v>120343432</v>
      </c>
      <c r="G1038" s="520">
        <f>SUM(G1033:G1037)</f>
        <v>24169266.75</v>
      </c>
      <c r="H1038" s="414">
        <f>SUM(H1033:H1037)</f>
        <v>120343432</v>
      </c>
    </row>
    <row r="1039" spans="1:7" ht="30" customHeight="1">
      <c r="A1039" s="165" t="s">
        <v>127</v>
      </c>
      <c r="B1039" s="463">
        <v>1303</v>
      </c>
      <c r="C1039" s="413" t="s">
        <v>151</v>
      </c>
      <c r="F1039" s="386"/>
      <c r="G1039" s="596"/>
    </row>
    <row r="1040" spans="1:8" ht="30" customHeight="1">
      <c r="A1040" s="165" t="s">
        <v>127</v>
      </c>
      <c r="B1040" s="463">
        <v>1303</v>
      </c>
      <c r="C1040" s="384" t="s">
        <v>507</v>
      </c>
      <c r="D1040" s="365">
        <v>6311</v>
      </c>
      <c r="E1040" s="368" t="s">
        <v>276</v>
      </c>
      <c r="F1040" s="386">
        <f>'prévision 2017'!I1042</f>
        <v>200000000</v>
      </c>
      <c r="G1040" s="386">
        <f>'prévision 2017'!H1042</f>
        <v>200000000</v>
      </c>
      <c r="H1040" s="158">
        <f>'prévision 2017'!G1042</f>
        <v>200000000</v>
      </c>
    </row>
    <row r="1041" spans="1:8" ht="30" customHeight="1">
      <c r="A1041" s="165" t="s">
        <v>127</v>
      </c>
      <c r="B1041" s="463">
        <v>1303</v>
      </c>
      <c r="C1041" s="384" t="s">
        <v>507</v>
      </c>
      <c r="D1041" s="365">
        <v>2156</v>
      </c>
      <c r="E1041" s="366" t="s">
        <v>572</v>
      </c>
      <c r="F1041" s="386">
        <f>'prévision 2017'!I1043</f>
        <v>1000000000</v>
      </c>
      <c r="G1041" s="386">
        <f>'prévision 2017'!H1043</f>
        <v>500000000</v>
      </c>
      <c r="H1041" s="158">
        <f>'prévision 2017'!G1043</f>
        <v>1000000000</v>
      </c>
    </row>
    <row r="1042" spans="1:8" ht="30" customHeight="1">
      <c r="A1042" s="165" t="s">
        <v>127</v>
      </c>
      <c r="B1042" s="463">
        <v>1303</v>
      </c>
      <c r="C1042" s="412" t="s">
        <v>507</v>
      </c>
      <c r="D1042" s="379" t="s">
        <v>463</v>
      </c>
      <c r="F1042" s="520">
        <f>F1040+F1041</f>
        <v>1200000000</v>
      </c>
      <c r="G1042" s="520">
        <f>G1040+G1041</f>
        <v>700000000</v>
      </c>
      <c r="H1042" s="166">
        <f>H1040+H1041</f>
        <v>1200000000</v>
      </c>
    </row>
    <row r="1043" spans="1:7" ht="30" customHeight="1">
      <c r="A1043" s="165" t="s">
        <v>127</v>
      </c>
      <c r="B1043" s="463">
        <v>1304</v>
      </c>
      <c r="C1043" s="488" t="s">
        <v>153</v>
      </c>
      <c r="F1043" s="386"/>
      <c r="G1043" s="596"/>
    </row>
    <row r="1044" spans="1:8" ht="30" customHeight="1">
      <c r="A1044" s="165" t="s">
        <v>127</v>
      </c>
      <c r="B1044" s="463">
        <v>1304</v>
      </c>
      <c r="C1044" s="384" t="s">
        <v>507</v>
      </c>
      <c r="D1044" s="466">
        <v>6311</v>
      </c>
      <c r="E1044" s="446" t="s">
        <v>276</v>
      </c>
      <c r="F1044" s="386">
        <f>'prévision 2017'!I1046</f>
        <v>100000000</v>
      </c>
      <c r="G1044" s="386">
        <f>'prévision 2017'!H1046</f>
        <v>100000000</v>
      </c>
      <c r="H1044" s="158">
        <f>'prévision 2017'!G1046</f>
        <v>100000000</v>
      </c>
    </row>
    <row r="1045" spans="1:8" ht="30" customHeight="1">
      <c r="A1045" s="165" t="s">
        <v>127</v>
      </c>
      <c r="B1045" s="463">
        <v>1304</v>
      </c>
      <c r="C1045" s="412" t="s">
        <v>507</v>
      </c>
      <c r="D1045" s="379" t="s">
        <v>463</v>
      </c>
      <c r="F1045" s="520">
        <f>F1044</f>
        <v>100000000</v>
      </c>
      <c r="G1045" s="520">
        <f>G1044</f>
        <v>100000000</v>
      </c>
      <c r="H1045" s="414">
        <f>H1044</f>
        <v>100000000</v>
      </c>
    </row>
    <row r="1046" spans="1:7" ht="30" customHeight="1">
      <c r="A1046" s="165" t="s">
        <v>127</v>
      </c>
      <c r="B1046" s="463">
        <v>1305</v>
      </c>
      <c r="C1046" s="427" t="s">
        <v>154</v>
      </c>
      <c r="D1046" s="445"/>
      <c r="F1046" s="386"/>
      <c r="G1046" s="596"/>
    </row>
    <row r="1047" spans="1:8" ht="30" customHeight="1">
      <c r="A1047" s="165" t="s">
        <v>127</v>
      </c>
      <c r="B1047" s="463">
        <v>1305</v>
      </c>
      <c r="C1047" s="384" t="s">
        <v>507</v>
      </c>
      <c r="D1047" s="365">
        <v>6611</v>
      </c>
      <c r="E1047" s="371" t="s">
        <v>6</v>
      </c>
      <c r="F1047" s="386">
        <f>'prévision 2017'!I1049</f>
        <v>27581196</v>
      </c>
      <c r="G1047" s="386">
        <f>'prévision 2017'!H1049</f>
        <v>24310065.409999996</v>
      </c>
      <c r="H1047" s="158">
        <f>'prévision 2017'!G1049</f>
        <v>27581196</v>
      </c>
    </row>
    <row r="1048" spans="1:8" ht="30" customHeight="1">
      <c r="A1048" s="165" t="s">
        <v>127</v>
      </c>
      <c r="B1048" s="463">
        <v>1305</v>
      </c>
      <c r="C1048" s="384" t="s">
        <v>507</v>
      </c>
      <c r="D1048" s="365">
        <v>60100</v>
      </c>
      <c r="E1048" s="368" t="s">
        <v>7</v>
      </c>
      <c r="F1048" s="386">
        <f>'prévision 2017'!I1050</f>
        <v>500000</v>
      </c>
      <c r="G1048" s="386">
        <f>'prévision 2017'!H1050</f>
        <v>125000</v>
      </c>
      <c r="H1048" s="158">
        <f>'prévision 2017'!G1050</f>
        <v>500000</v>
      </c>
    </row>
    <row r="1049" spans="1:8" ht="30" customHeight="1">
      <c r="A1049" s="165" t="s">
        <v>127</v>
      </c>
      <c r="B1049" s="463">
        <v>1305</v>
      </c>
      <c r="C1049" s="384" t="s">
        <v>507</v>
      </c>
      <c r="D1049" s="365">
        <v>6122</v>
      </c>
      <c r="E1049" s="389" t="s">
        <v>582</v>
      </c>
      <c r="F1049" s="386">
        <f>'prévision 2017'!I1051</f>
        <v>400000</v>
      </c>
      <c r="G1049" s="386">
        <f>'prévision 2017'!H1051</f>
        <v>0</v>
      </c>
      <c r="H1049" s="158">
        <f>'prévision 2017'!G1051</f>
        <v>400000</v>
      </c>
    </row>
    <row r="1050" spans="1:8" ht="30" customHeight="1">
      <c r="A1050" s="165" t="s">
        <v>127</v>
      </c>
      <c r="B1050" s="463">
        <v>1305</v>
      </c>
      <c r="C1050" s="412" t="s">
        <v>507</v>
      </c>
      <c r="D1050" s="379" t="s">
        <v>463</v>
      </c>
      <c r="F1050" s="520">
        <f>SUM(F1047:F1049)</f>
        <v>28481196</v>
      </c>
      <c r="G1050" s="520">
        <f>SUM(G1047:G1049)</f>
        <v>24435065.409999996</v>
      </c>
      <c r="H1050" s="414">
        <f>SUM(H1047:H1049)</f>
        <v>28481196</v>
      </c>
    </row>
    <row r="1051" spans="1:7" ht="30" customHeight="1">
      <c r="A1051" s="165" t="s">
        <v>127</v>
      </c>
      <c r="B1051" s="463">
        <v>1306</v>
      </c>
      <c r="C1051" s="441" t="s">
        <v>155</v>
      </c>
      <c r="F1051" s="386"/>
      <c r="G1051" s="596"/>
    </row>
    <row r="1052" spans="1:8" ht="30" customHeight="1">
      <c r="A1052" s="165" t="s">
        <v>127</v>
      </c>
      <c r="B1052" s="463">
        <v>1306</v>
      </c>
      <c r="C1052" s="384" t="s">
        <v>478</v>
      </c>
      <c r="D1052" s="402">
        <v>6311</v>
      </c>
      <c r="E1052" s="446" t="s">
        <v>276</v>
      </c>
      <c r="F1052" s="386">
        <f>'prévision 2017'!I1054</f>
        <v>0</v>
      </c>
      <c r="G1052" s="386">
        <f>'prévision 2017'!H1054</f>
        <v>0</v>
      </c>
      <c r="H1052" s="158">
        <f>'prévision 2017'!G1054</f>
        <v>0</v>
      </c>
    </row>
    <row r="1053" spans="1:8" ht="30" customHeight="1">
      <c r="A1053" s="165" t="s">
        <v>127</v>
      </c>
      <c r="B1053" s="463">
        <v>1306</v>
      </c>
      <c r="C1053" s="412" t="s">
        <v>478</v>
      </c>
      <c r="D1053" s="379" t="s">
        <v>463</v>
      </c>
      <c r="F1053" s="386">
        <f>F1052</f>
        <v>0</v>
      </c>
      <c r="G1053" s="559"/>
      <c r="H1053" s="158">
        <f>'prévision 2017'!G1055</f>
        <v>0</v>
      </c>
    </row>
    <row r="1054" spans="1:7" ht="30" customHeight="1">
      <c r="A1054" s="165" t="s">
        <v>127</v>
      </c>
      <c r="B1054" s="463">
        <v>1307</v>
      </c>
      <c r="C1054" s="427" t="s">
        <v>156</v>
      </c>
      <c r="F1054" s="386"/>
      <c r="G1054" s="596"/>
    </row>
    <row r="1055" spans="1:8" ht="30" customHeight="1">
      <c r="A1055" s="165" t="s">
        <v>127</v>
      </c>
      <c r="B1055" s="463">
        <v>1307</v>
      </c>
      <c r="C1055" s="384" t="s">
        <v>478</v>
      </c>
      <c r="D1055" s="365">
        <v>60100</v>
      </c>
      <c r="E1055" s="368" t="s">
        <v>7</v>
      </c>
      <c r="F1055" s="386">
        <f>'prévision 2017'!I1057</f>
        <v>658000</v>
      </c>
      <c r="G1055" s="386">
        <f>'prévision 2017'!H1057</f>
        <v>0</v>
      </c>
      <c r="H1055" s="167">
        <f>'prévision 2017'!G1057</f>
        <v>658000</v>
      </c>
    </row>
    <row r="1056" spans="1:8" ht="30" customHeight="1">
      <c r="A1056" s="165" t="s">
        <v>127</v>
      </c>
      <c r="B1056" s="463">
        <v>1307</v>
      </c>
      <c r="C1056" s="384" t="s">
        <v>478</v>
      </c>
      <c r="D1056" s="365">
        <v>6122</v>
      </c>
      <c r="E1056" s="389" t="s">
        <v>582</v>
      </c>
      <c r="F1056" s="386">
        <f>'prévision 2017'!I1058</f>
        <v>0</v>
      </c>
      <c r="G1056" s="386">
        <f>'prévision 2017'!H1058</f>
        <v>0</v>
      </c>
      <c r="H1056" s="167">
        <f>'prévision 2017'!G1058</f>
        <v>0</v>
      </c>
    </row>
    <row r="1057" spans="1:8" ht="30" customHeight="1">
      <c r="A1057" s="165" t="s">
        <v>127</v>
      </c>
      <c r="B1057" s="463">
        <v>1307</v>
      </c>
      <c r="C1057" s="384" t="s">
        <v>478</v>
      </c>
      <c r="D1057" s="365">
        <v>6175</v>
      </c>
      <c r="E1057" s="366" t="s">
        <v>559</v>
      </c>
      <c r="F1057" s="386">
        <f>'prévision 2017'!I1062</f>
        <v>0</v>
      </c>
      <c r="G1057" s="386">
        <f>'prévision 2017'!H1059</f>
        <v>0</v>
      </c>
      <c r="H1057" s="167">
        <f>'prévision 2017'!G1059</f>
        <v>0</v>
      </c>
    </row>
    <row r="1058" spans="1:8" ht="30" customHeight="1">
      <c r="A1058" s="165" t="s">
        <v>127</v>
      </c>
      <c r="B1058" s="463">
        <v>1307</v>
      </c>
      <c r="C1058" s="384" t="s">
        <v>478</v>
      </c>
      <c r="D1058" s="365">
        <v>6111</v>
      </c>
      <c r="E1058" s="368" t="s">
        <v>558</v>
      </c>
      <c r="F1058" s="386"/>
      <c r="G1058" s="386">
        <f>'prévision 2017'!H1060</f>
        <v>0</v>
      </c>
      <c r="H1058" s="167">
        <f>'prévision 2017'!G1060</f>
        <v>0</v>
      </c>
    </row>
    <row r="1059" spans="1:8" ht="30" customHeight="1">
      <c r="A1059" s="165" t="s">
        <v>127</v>
      </c>
      <c r="B1059" s="463">
        <v>1307</v>
      </c>
      <c r="C1059" s="384" t="s">
        <v>478</v>
      </c>
      <c r="D1059" s="365">
        <v>6174</v>
      </c>
      <c r="E1059" s="368" t="s">
        <v>27</v>
      </c>
      <c r="F1059" s="386"/>
      <c r="G1059" s="386">
        <f>'prévision 2017'!H1061</f>
        <v>0</v>
      </c>
      <c r="H1059" s="167">
        <f>'prévision 2017'!G1061</f>
        <v>0</v>
      </c>
    </row>
    <row r="1060" spans="1:8" ht="30" customHeight="1">
      <c r="A1060" s="165" t="s">
        <v>127</v>
      </c>
      <c r="B1060" s="463">
        <v>1307</v>
      </c>
      <c r="C1060" s="384" t="s">
        <v>478</v>
      </c>
      <c r="D1060" s="365">
        <v>6172</v>
      </c>
      <c r="E1060" s="368" t="s">
        <v>157</v>
      </c>
      <c r="F1060" s="386"/>
      <c r="G1060" s="386">
        <f>'prévision 2017'!H1062</f>
        <v>0</v>
      </c>
      <c r="H1060" s="167">
        <f>'prévision 2017'!G1062</f>
        <v>0</v>
      </c>
    </row>
    <row r="1061" spans="1:8" ht="30" customHeight="1">
      <c r="A1061" s="165" t="s">
        <v>127</v>
      </c>
      <c r="B1061" s="463">
        <v>1307</v>
      </c>
      <c r="C1061" s="384" t="s">
        <v>478</v>
      </c>
      <c r="D1061" s="379" t="s">
        <v>463</v>
      </c>
      <c r="F1061" s="520">
        <f>SUM(F1055:F1060)</f>
        <v>658000</v>
      </c>
      <c r="G1061" s="520">
        <f>SUM(G1055:G1060)</f>
        <v>0</v>
      </c>
      <c r="H1061" s="491">
        <f>SUM(H1055:H1060)</f>
        <v>658000</v>
      </c>
    </row>
    <row r="1062" spans="1:7" ht="30" customHeight="1">
      <c r="A1062" s="165" t="s">
        <v>127</v>
      </c>
      <c r="B1062" s="463">
        <v>1308</v>
      </c>
      <c r="C1062" s="427" t="s">
        <v>158</v>
      </c>
      <c r="F1062" s="386"/>
      <c r="G1062" s="596"/>
    </row>
    <row r="1063" spans="1:8" ht="30" customHeight="1">
      <c r="A1063" s="165" t="s">
        <v>127</v>
      </c>
      <c r="B1063" s="463">
        <v>1308</v>
      </c>
      <c r="C1063" s="156" t="s">
        <v>478</v>
      </c>
      <c r="D1063" s="365">
        <v>6611</v>
      </c>
      <c r="E1063" s="368" t="s">
        <v>6</v>
      </c>
      <c r="F1063" s="386">
        <f>'prévision 2017'!I1065</f>
        <v>27494004</v>
      </c>
      <c r="G1063" s="386">
        <f>'prévision 2017'!H1065</f>
        <v>32561936.86000001</v>
      </c>
      <c r="H1063" s="167">
        <f>'prévision 2017'!G1065</f>
        <v>27494004</v>
      </c>
    </row>
    <row r="1064" spans="1:8" ht="30" customHeight="1">
      <c r="A1064" s="165" t="s">
        <v>127</v>
      </c>
      <c r="B1064" s="463">
        <v>1308</v>
      </c>
      <c r="C1064" s="384" t="s">
        <v>478</v>
      </c>
      <c r="D1064" s="365">
        <v>60100</v>
      </c>
      <c r="E1064" s="368" t="s">
        <v>7</v>
      </c>
      <c r="F1064" s="386">
        <f>'prévision 2017'!I1066</f>
        <v>775000</v>
      </c>
      <c r="G1064" s="386">
        <f>'prévision 2017'!H1066</f>
        <v>308650</v>
      </c>
      <c r="H1064" s="167">
        <f>'prévision 2017'!G1066</f>
        <v>775000</v>
      </c>
    </row>
    <row r="1065" spans="1:8" ht="30" customHeight="1">
      <c r="A1065" s="165" t="s">
        <v>127</v>
      </c>
      <c r="B1065" s="463">
        <v>1308</v>
      </c>
      <c r="C1065" s="384" t="s">
        <v>478</v>
      </c>
      <c r="D1065" s="365">
        <v>6122</v>
      </c>
      <c r="E1065" s="389" t="s">
        <v>582</v>
      </c>
      <c r="F1065" s="386">
        <f>'prévision 2017'!I1067</f>
        <v>500000</v>
      </c>
      <c r="G1065" s="386">
        <f>'prévision 2017'!H1067</f>
        <v>0</v>
      </c>
      <c r="H1065" s="167">
        <f>'prévision 2017'!G1067</f>
        <v>500000</v>
      </c>
    </row>
    <row r="1066" spans="1:8" ht="30" customHeight="1">
      <c r="A1066" s="165" t="s">
        <v>127</v>
      </c>
      <c r="B1066" s="463">
        <v>1308</v>
      </c>
      <c r="C1066" s="384" t="s">
        <v>478</v>
      </c>
      <c r="D1066" s="365">
        <v>6133</v>
      </c>
      <c r="E1066" s="368" t="s">
        <v>110</v>
      </c>
      <c r="F1066" s="386">
        <f>'prévision 2017'!I1068</f>
        <v>0</v>
      </c>
      <c r="G1066" s="386">
        <f>'prévision 2017'!H1068</f>
        <v>0</v>
      </c>
      <c r="H1066" s="167">
        <f>'prévision 2017'!G1068</f>
        <v>0</v>
      </c>
    </row>
    <row r="1067" spans="1:8" ht="30" customHeight="1">
      <c r="A1067" s="165" t="s">
        <v>127</v>
      </c>
      <c r="B1067" s="463">
        <v>1308</v>
      </c>
      <c r="C1067" s="384" t="s">
        <v>478</v>
      </c>
      <c r="D1067" s="365">
        <v>6111</v>
      </c>
      <c r="E1067" s="368" t="s">
        <v>236</v>
      </c>
      <c r="F1067" s="386">
        <f>'prévision 2017'!I1069</f>
        <v>0</v>
      </c>
      <c r="G1067" s="386">
        <f>'prévision 2017'!H1069</f>
        <v>0</v>
      </c>
      <c r="H1067" s="167">
        <f>'prévision 2017'!G1069</f>
        <v>0</v>
      </c>
    </row>
    <row r="1068" spans="1:8" ht="30" customHeight="1">
      <c r="A1068" s="165" t="s">
        <v>127</v>
      </c>
      <c r="B1068" s="463">
        <v>1308</v>
      </c>
      <c r="C1068" s="384" t="s">
        <v>478</v>
      </c>
      <c r="D1068" s="365">
        <v>6175</v>
      </c>
      <c r="E1068" s="368" t="s">
        <v>13</v>
      </c>
      <c r="F1068" s="386">
        <f>'prévision 2017'!I1070</f>
        <v>0</v>
      </c>
      <c r="G1068" s="386">
        <f>'prévision 2017'!H1070</f>
        <v>0</v>
      </c>
      <c r="H1068" s="167">
        <f>'prévision 2017'!G1070</f>
        <v>0</v>
      </c>
    </row>
    <row r="1069" spans="1:8" ht="30" customHeight="1">
      <c r="A1069" s="165" t="s">
        <v>127</v>
      </c>
      <c r="B1069" s="463">
        <v>1308</v>
      </c>
      <c r="C1069" s="160" t="s">
        <v>478</v>
      </c>
      <c r="D1069" s="379" t="s">
        <v>463</v>
      </c>
      <c r="F1069" s="520">
        <f>SUM(F1063:F1068)</f>
        <v>28769004</v>
      </c>
      <c r="G1069" s="520">
        <f>SUM(G1063:G1068)</f>
        <v>32870586.86000001</v>
      </c>
      <c r="H1069" s="491">
        <f>SUM(H1063:H1068)</f>
        <v>28769004</v>
      </c>
    </row>
    <row r="1070" spans="1:8" ht="30" customHeight="1">
      <c r="A1070" s="165" t="s">
        <v>127</v>
      </c>
      <c r="B1070" s="463">
        <v>1309</v>
      </c>
      <c r="C1070" s="427" t="s">
        <v>159</v>
      </c>
      <c r="F1070" s="386"/>
      <c r="G1070" s="559"/>
      <c r="H1070" s="167"/>
    </row>
    <row r="1071" spans="1:8" ht="30" customHeight="1">
      <c r="A1071" s="165" t="s">
        <v>127</v>
      </c>
      <c r="B1071" s="463">
        <v>1309</v>
      </c>
      <c r="C1071" s="384" t="s">
        <v>506</v>
      </c>
      <c r="D1071" s="365">
        <v>6611</v>
      </c>
      <c r="E1071" s="368" t="s">
        <v>6</v>
      </c>
      <c r="F1071" s="386">
        <f>'prévision 2017'!I1073</f>
        <v>688337644</v>
      </c>
      <c r="G1071" s="386">
        <f>'prévision 2017'!H1073</f>
        <v>648862957.8</v>
      </c>
      <c r="H1071" s="167">
        <f>'prévision 2017'!G1073</f>
        <v>688337644</v>
      </c>
    </row>
    <row r="1072" spans="1:8" ht="30" customHeight="1">
      <c r="A1072" s="165" t="s">
        <v>127</v>
      </c>
      <c r="B1072" s="463">
        <v>1309</v>
      </c>
      <c r="C1072" s="384" t="s">
        <v>506</v>
      </c>
      <c r="D1072" s="365">
        <v>60100</v>
      </c>
      <c r="E1072" s="368" t="s">
        <v>7</v>
      </c>
      <c r="F1072" s="386">
        <f>'prévision 2017'!I1074</f>
        <v>2308393</v>
      </c>
      <c r="G1072" s="386">
        <f>'prévision 2017'!H1074</f>
        <v>0</v>
      </c>
      <c r="H1072" s="167">
        <f>'prévision 2017'!G1074</f>
        <v>2308393</v>
      </c>
    </row>
    <row r="1073" spans="1:8" ht="30" customHeight="1">
      <c r="A1073" s="165" t="s">
        <v>127</v>
      </c>
      <c r="B1073" s="463">
        <v>1309</v>
      </c>
      <c r="C1073" s="384" t="s">
        <v>506</v>
      </c>
      <c r="D1073" s="365">
        <v>6122</v>
      </c>
      <c r="E1073" s="389" t="s">
        <v>582</v>
      </c>
      <c r="F1073" s="386">
        <f>'prévision 2017'!I1075</f>
        <v>1806000</v>
      </c>
      <c r="G1073" s="386">
        <f>'prévision 2017'!H1075</f>
        <v>0</v>
      </c>
      <c r="H1073" s="167">
        <f>'prévision 2017'!G1075</f>
        <v>1806000</v>
      </c>
    </row>
    <row r="1074" spans="1:8" ht="30" customHeight="1">
      <c r="A1074" s="165" t="s">
        <v>127</v>
      </c>
      <c r="B1074" s="463">
        <v>1309</v>
      </c>
      <c r="C1074" s="384" t="s">
        <v>506</v>
      </c>
      <c r="D1074" s="365">
        <v>6174</v>
      </c>
      <c r="E1074" s="368" t="s">
        <v>40</v>
      </c>
      <c r="F1074" s="386">
        <f>'prévision 2017'!I1076</f>
        <v>1809000</v>
      </c>
      <c r="G1074" s="386">
        <f>'prévision 2017'!H1076</f>
        <v>0</v>
      </c>
      <c r="H1074" s="167">
        <f>'prévision 2017'!G1076</f>
        <v>1809000</v>
      </c>
    </row>
    <row r="1075" spans="1:8" ht="30" customHeight="1">
      <c r="A1075" s="165" t="s">
        <v>127</v>
      </c>
      <c r="B1075" s="463">
        <v>1309</v>
      </c>
      <c r="C1075" s="384" t="s">
        <v>506</v>
      </c>
      <c r="D1075" s="365">
        <v>6021</v>
      </c>
      <c r="E1075" s="368" t="s">
        <v>124</v>
      </c>
      <c r="F1075" s="386">
        <f>'prévision 2017'!I1077</f>
        <v>0</v>
      </c>
      <c r="G1075" s="386">
        <f>'prévision 2017'!H1077</f>
        <v>0</v>
      </c>
      <c r="H1075" s="167">
        <f>'prévision 2017'!G1077</f>
        <v>0</v>
      </c>
    </row>
    <row r="1076" spans="1:8" ht="30" customHeight="1">
      <c r="A1076" s="165" t="s">
        <v>127</v>
      </c>
      <c r="B1076" s="463">
        <v>1309</v>
      </c>
      <c r="C1076" s="384" t="s">
        <v>506</v>
      </c>
      <c r="D1076" s="365">
        <v>2183</v>
      </c>
      <c r="E1076" s="366" t="s">
        <v>569</v>
      </c>
      <c r="F1076" s="386"/>
      <c r="G1076" s="386">
        <f>'prévision 2017'!H1078</f>
        <v>0</v>
      </c>
      <c r="H1076" s="167"/>
    </row>
    <row r="1077" spans="1:8" ht="30" customHeight="1">
      <c r="A1077" s="165" t="s">
        <v>127</v>
      </c>
      <c r="B1077" s="463">
        <v>1309</v>
      </c>
      <c r="C1077" s="384" t="s">
        <v>506</v>
      </c>
      <c r="D1077" s="379" t="s">
        <v>463</v>
      </c>
      <c r="F1077" s="520">
        <f>SUM(F1071:F1075)</f>
        <v>694261037</v>
      </c>
      <c r="G1077" s="520">
        <f>SUM(G1071:G1075)</f>
        <v>648862957.8</v>
      </c>
      <c r="H1077" s="491">
        <f>SUM(H1071:H1075)</f>
        <v>694261037</v>
      </c>
    </row>
    <row r="1078" spans="1:7" ht="30" customHeight="1">
      <c r="A1078" s="165" t="s">
        <v>127</v>
      </c>
      <c r="B1078" s="463">
        <v>1310</v>
      </c>
      <c r="C1078" s="509" t="s">
        <v>311</v>
      </c>
      <c r="F1078" s="386"/>
      <c r="G1078" s="596"/>
    </row>
    <row r="1079" spans="1:8" ht="30" customHeight="1">
      <c r="A1079" s="165" t="s">
        <v>127</v>
      </c>
      <c r="B1079" s="463">
        <v>1310</v>
      </c>
      <c r="C1079" s="384" t="s">
        <v>506</v>
      </c>
      <c r="D1079" s="365">
        <v>60100</v>
      </c>
      <c r="E1079" s="368" t="s">
        <v>7</v>
      </c>
      <c r="F1079" s="386">
        <f>'prévision 2017'!I1081</f>
        <v>505000</v>
      </c>
      <c r="G1079" s="386">
        <f>'prévision 2017'!H1081</f>
        <v>0</v>
      </c>
      <c r="H1079" s="167">
        <f>'prévision 2017'!G1081</f>
        <v>505000</v>
      </c>
    </row>
    <row r="1080" spans="1:8" ht="30" customHeight="1">
      <c r="A1080" s="165" t="s">
        <v>127</v>
      </c>
      <c r="B1080" s="463">
        <v>1310</v>
      </c>
      <c r="C1080" s="384" t="s">
        <v>506</v>
      </c>
      <c r="D1080" s="365">
        <v>6122</v>
      </c>
      <c r="E1080" s="389" t="s">
        <v>582</v>
      </c>
      <c r="F1080" s="386">
        <f>'prévision 2017'!I1082</f>
        <v>404000</v>
      </c>
      <c r="G1080" s="386">
        <f>'prévision 2017'!H1082</f>
        <v>0</v>
      </c>
      <c r="H1080" s="167">
        <f>'prévision 2017'!G1082</f>
        <v>404000</v>
      </c>
    </row>
    <row r="1081" spans="1:8" ht="30" customHeight="1">
      <c r="A1081" s="165" t="s">
        <v>127</v>
      </c>
      <c r="B1081" s="463">
        <v>1310</v>
      </c>
      <c r="C1081" s="384" t="s">
        <v>506</v>
      </c>
      <c r="D1081" s="365">
        <v>6174</v>
      </c>
      <c r="E1081" s="368" t="s">
        <v>40</v>
      </c>
      <c r="F1081" s="386">
        <f>'prévision 2017'!I1083</f>
        <v>505000</v>
      </c>
      <c r="G1081" s="386">
        <f>'prévision 2017'!H1083</f>
        <v>0</v>
      </c>
      <c r="H1081" s="167">
        <f>'prévision 2017'!G1083</f>
        <v>505000</v>
      </c>
    </row>
    <row r="1082" spans="1:8" ht="30" customHeight="1">
      <c r="A1082" s="165" t="s">
        <v>127</v>
      </c>
      <c r="B1082" s="463">
        <v>1310</v>
      </c>
      <c r="C1082" s="384" t="s">
        <v>506</v>
      </c>
      <c r="D1082" s="379" t="s">
        <v>463</v>
      </c>
      <c r="F1082" s="520">
        <f>SUM(F1079:F1081)</f>
        <v>1414000</v>
      </c>
      <c r="G1082" s="520">
        <f>SUM(G1079:G1081)</f>
        <v>0</v>
      </c>
      <c r="H1082" s="491">
        <f>SUM(H1079:H1081)</f>
        <v>1414000</v>
      </c>
    </row>
    <row r="1083" spans="1:7" ht="30" customHeight="1">
      <c r="A1083" s="165" t="s">
        <v>127</v>
      </c>
      <c r="B1083" s="463">
        <v>1311</v>
      </c>
      <c r="C1083" s="384" t="s">
        <v>506</v>
      </c>
      <c r="D1083" s="437" t="s">
        <v>312</v>
      </c>
      <c r="F1083" s="386"/>
      <c r="G1083" s="596"/>
    </row>
    <row r="1084" spans="1:8" ht="30" customHeight="1">
      <c r="A1084" s="165" t="s">
        <v>127</v>
      </c>
      <c r="B1084" s="463">
        <v>1311</v>
      </c>
      <c r="C1084" s="384" t="s">
        <v>506</v>
      </c>
      <c r="D1084" s="365">
        <v>60100</v>
      </c>
      <c r="E1084" s="368" t="s">
        <v>7</v>
      </c>
      <c r="F1084" s="386">
        <f>'prévision 2017'!I1086</f>
        <v>500000</v>
      </c>
      <c r="G1084" s="386">
        <f>'prévision 2017'!H1086</f>
        <v>0</v>
      </c>
      <c r="H1084" s="167">
        <f>'prévision 2017'!G1086</f>
        <v>500000</v>
      </c>
    </row>
    <row r="1085" spans="1:8" ht="30" customHeight="1">
      <c r="A1085" s="165" t="s">
        <v>127</v>
      </c>
      <c r="B1085" s="463">
        <v>1311</v>
      </c>
      <c r="C1085" s="384" t="s">
        <v>506</v>
      </c>
      <c r="D1085" s="365">
        <v>6122</v>
      </c>
      <c r="E1085" s="389" t="s">
        <v>582</v>
      </c>
      <c r="F1085" s="386">
        <f>'prévision 2017'!I1087</f>
        <v>400000</v>
      </c>
      <c r="G1085" s="386">
        <f>'prévision 2017'!H1087</f>
        <v>0</v>
      </c>
      <c r="H1085" s="167">
        <f>'prévision 2017'!G1087</f>
        <v>400000</v>
      </c>
    </row>
    <row r="1086" spans="1:8" ht="30" customHeight="1">
      <c r="A1086" s="165" t="s">
        <v>127</v>
      </c>
      <c r="B1086" s="463">
        <v>1311</v>
      </c>
      <c r="C1086" s="384" t="s">
        <v>506</v>
      </c>
      <c r="D1086" s="365">
        <v>6174</v>
      </c>
      <c r="E1086" s="368" t="s">
        <v>40</v>
      </c>
      <c r="F1086" s="386">
        <f>'prévision 2017'!I1088</f>
        <v>450000</v>
      </c>
      <c r="G1086" s="386">
        <f>'prévision 2017'!H1088</f>
        <v>0</v>
      </c>
      <c r="H1086" s="167">
        <f>'prévision 2017'!G1088</f>
        <v>450000</v>
      </c>
    </row>
    <row r="1087" spans="1:8" ht="30" customHeight="1">
      <c r="A1087" s="165" t="s">
        <v>127</v>
      </c>
      <c r="B1087" s="463">
        <v>1311</v>
      </c>
      <c r="C1087" s="384" t="s">
        <v>506</v>
      </c>
      <c r="D1087" s="379" t="s">
        <v>463</v>
      </c>
      <c r="F1087" s="520">
        <f>SUM(F1084:F1086)</f>
        <v>1350000</v>
      </c>
      <c r="G1087" s="520">
        <f>SUM(G1084:G1086)</f>
        <v>0</v>
      </c>
      <c r="H1087" s="491">
        <f>SUM(H1084:H1086)</f>
        <v>1350000</v>
      </c>
    </row>
    <row r="1088" spans="1:7" ht="30" customHeight="1">
      <c r="A1088" s="165" t="s">
        <v>127</v>
      </c>
      <c r="B1088" s="463">
        <v>1312</v>
      </c>
      <c r="C1088" s="509" t="s">
        <v>209</v>
      </c>
      <c r="F1088" s="386"/>
      <c r="G1088" s="596"/>
    </row>
    <row r="1089" spans="1:8" ht="30" customHeight="1">
      <c r="A1089" s="165" t="s">
        <v>127</v>
      </c>
      <c r="B1089" s="463">
        <v>1312</v>
      </c>
      <c r="C1089" s="384" t="s">
        <v>508</v>
      </c>
      <c r="D1089" s="365">
        <v>6682</v>
      </c>
      <c r="E1089" s="368" t="s">
        <v>262</v>
      </c>
      <c r="F1089" s="386">
        <f>'prévision 2017'!I1091</f>
        <v>0</v>
      </c>
      <c r="G1089" s="386">
        <f>'prévision 2017'!H1091</f>
        <v>0</v>
      </c>
      <c r="H1089" s="167">
        <f>'prévision 2017'!G1091</f>
        <v>0</v>
      </c>
    </row>
    <row r="1090" spans="1:8" ht="30" customHeight="1">
      <c r="A1090" s="165" t="s">
        <v>127</v>
      </c>
      <c r="B1090" s="463">
        <v>1312</v>
      </c>
      <c r="C1090" s="384" t="s">
        <v>508</v>
      </c>
      <c r="D1090" s="365">
        <v>60100</v>
      </c>
      <c r="E1090" s="368" t="s">
        <v>7</v>
      </c>
      <c r="F1090" s="386">
        <f>'prévision 2017'!I1092</f>
        <v>2000000</v>
      </c>
      <c r="G1090" s="386">
        <f>'prévision 2017'!H1092</f>
        <v>1500000</v>
      </c>
      <c r="H1090" s="167">
        <f>'prévision 2017'!G1092</f>
        <v>2000000</v>
      </c>
    </row>
    <row r="1091" spans="1:8" ht="30" customHeight="1">
      <c r="A1091" s="165" t="s">
        <v>127</v>
      </c>
      <c r="B1091" s="463">
        <v>1312</v>
      </c>
      <c r="C1091" s="384" t="s">
        <v>508</v>
      </c>
      <c r="D1091" s="365">
        <v>6041</v>
      </c>
      <c r="E1091" s="368" t="s">
        <v>170</v>
      </c>
      <c r="F1091" s="386">
        <f>'prévision 2017'!I1093</f>
        <v>0</v>
      </c>
      <c r="G1091" s="386">
        <f>'prévision 2017'!H1093</f>
        <v>0</v>
      </c>
      <c r="H1091" s="167">
        <f>'prévision 2017'!G1093</f>
        <v>0</v>
      </c>
    </row>
    <row r="1092" spans="1:8" ht="30" customHeight="1">
      <c r="A1092" s="165" t="s">
        <v>127</v>
      </c>
      <c r="B1092" s="463">
        <v>1312</v>
      </c>
      <c r="C1092" s="384" t="s">
        <v>508</v>
      </c>
      <c r="D1092" s="365">
        <v>6122</v>
      </c>
      <c r="E1092" s="389" t="s">
        <v>582</v>
      </c>
      <c r="F1092" s="386">
        <f>'prévision 2017'!I1094</f>
        <v>0</v>
      </c>
      <c r="G1092" s="386">
        <f>'prévision 2017'!H1094</f>
        <v>0</v>
      </c>
      <c r="H1092" s="167">
        <f>'prévision 2017'!G1094</f>
        <v>0</v>
      </c>
    </row>
    <row r="1093" spans="1:8" ht="30" customHeight="1">
      <c r="A1093" s="165" t="s">
        <v>127</v>
      </c>
      <c r="B1093" s="463">
        <v>1312</v>
      </c>
      <c r="C1093" s="384" t="s">
        <v>508</v>
      </c>
      <c r="D1093" s="365">
        <v>6133</v>
      </c>
      <c r="E1093" s="368" t="s">
        <v>110</v>
      </c>
      <c r="F1093" s="386">
        <f>'prévision 2017'!I1095</f>
        <v>0</v>
      </c>
      <c r="G1093" s="386">
        <f>'prévision 2017'!H1095</f>
        <v>0</v>
      </c>
      <c r="H1093" s="167">
        <f>'prévision 2017'!G1095</f>
        <v>0</v>
      </c>
    </row>
    <row r="1094" spans="1:8" ht="30" customHeight="1">
      <c r="A1094" s="165" t="s">
        <v>127</v>
      </c>
      <c r="B1094" s="463">
        <v>1312</v>
      </c>
      <c r="C1094" s="384" t="s">
        <v>508</v>
      </c>
      <c r="D1094" s="365">
        <v>6052</v>
      </c>
      <c r="E1094" s="368" t="s">
        <v>598</v>
      </c>
      <c r="F1094" s="386">
        <f>'prévision 2017'!I1096</f>
        <v>0</v>
      </c>
      <c r="G1094" s="386">
        <f>'prévision 2017'!H1096</f>
        <v>0</v>
      </c>
      <c r="H1094" s="167">
        <f>'prévision 2017'!G1096</f>
        <v>0</v>
      </c>
    </row>
    <row r="1095" spans="1:8" ht="30" customHeight="1">
      <c r="A1095" s="165" t="s">
        <v>127</v>
      </c>
      <c r="B1095" s="463">
        <v>1312</v>
      </c>
      <c r="C1095" s="384" t="s">
        <v>508</v>
      </c>
      <c r="D1095" s="365">
        <v>6152</v>
      </c>
      <c r="E1095" s="368" t="s">
        <v>256</v>
      </c>
      <c r="F1095" s="386">
        <f>'prévision 2017'!I1097</f>
        <v>0</v>
      </c>
      <c r="G1095" s="386">
        <f>'prévision 2017'!H1097</f>
        <v>0</v>
      </c>
      <c r="H1095" s="167">
        <f>'prévision 2017'!G1097</f>
        <v>0</v>
      </c>
    </row>
    <row r="1096" spans="1:8" ht="30" customHeight="1">
      <c r="A1096" s="165" t="s">
        <v>127</v>
      </c>
      <c r="B1096" s="463">
        <v>1312</v>
      </c>
      <c r="C1096" s="384" t="s">
        <v>508</v>
      </c>
      <c r="D1096" s="365">
        <v>6111</v>
      </c>
      <c r="E1096" s="368" t="s">
        <v>238</v>
      </c>
      <c r="F1096" s="386">
        <f>'prévision 2017'!I1098</f>
        <v>0</v>
      </c>
      <c r="G1096" s="386">
        <f>'prévision 2017'!H1098</f>
        <v>0</v>
      </c>
      <c r="H1096" s="167">
        <f>'prévision 2017'!G1098</f>
        <v>0</v>
      </c>
    </row>
    <row r="1097" spans="1:8" ht="30" customHeight="1">
      <c r="A1097" s="165" t="s">
        <v>127</v>
      </c>
      <c r="B1097" s="463">
        <v>1312</v>
      </c>
      <c r="C1097" s="384" t="s">
        <v>508</v>
      </c>
      <c r="D1097" s="365">
        <v>6112</v>
      </c>
      <c r="E1097" s="368" t="s">
        <v>236</v>
      </c>
      <c r="F1097" s="386">
        <f>'prévision 2017'!I1099</f>
        <v>0</v>
      </c>
      <c r="G1097" s="386">
        <f>'prévision 2017'!H1099</f>
        <v>0</v>
      </c>
      <c r="H1097" s="167">
        <f>'prévision 2017'!G1099</f>
        <v>0</v>
      </c>
    </row>
    <row r="1098" spans="1:8" ht="30" customHeight="1">
      <c r="A1098" s="165" t="s">
        <v>127</v>
      </c>
      <c r="B1098" s="463">
        <v>1312</v>
      </c>
      <c r="C1098" s="384" t="s">
        <v>508</v>
      </c>
      <c r="D1098" s="365">
        <v>6171</v>
      </c>
      <c r="E1098" s="368" t="s">
        <v>214</v>
      </c>
      <c r="F1098" s="386">
        <f>'prévision 2017'!I1100</f>
        <v>0</v>
      </c>
      <c r="G1098" s="386">
        <f>'prévision 2017'!H1100</f>
        <v>0</v>
      </c>
      <c r="H1098" s="167">
        <f>'prévision 2017'!G1100</f>
        <v>0</v>
      </c>
    </row>
    <row r="1099" spans="1:8" ht="30" customHeight="1">
      <c r="A1099" s="165" t="s">
        <v>127</v>
      </c>
      <c r="B1099" s="463">
        <v>1312</v>
      </c>
      <c r="C1099" s="384" t="s">
        <v>508</v>
      </c>
      <c r="D1099" s="365">
        <v>6173</v>
      </c>
      <c r="E1099" s="390" t="s">
        <v>19</v>
      </c>
      <c r="F1099" s="386">
        <f>'prévision 2017'!I1101</f>
        <v>17000000</v>
      </c>
      <c r="G1099" s="386">
        <f>'prévision 2017'!H1101</f>
        <v>12750000</v>
      </c>
      <c r="H1099" s="167">
        <f>'prévision 2017'!G1101</f>
        <v>17000000</v>
      </c>
    </row>
    <row r="1100" spans="1:8" ht="30" customHeight="1">
      <c r="A1100" s="165" t="s">
        <v>127</v>
      </c>
      <c r="B1100" s="463">
        <v>1312</v>
      </c>
      <c r="C1100" s="384" t="s">
        <v>508</v>
      </c>
      <c r="D1100" s="365">
        <v>6175</v>
      </c>
      <c r="E1100" s="390" t="s">
        <v>13</v>
      </c>
      <c r="F1100" s="386">
        <f>'prévision 2017'!I1102</f>
        <v>0</v>
      </c>
      <c r="G1100" s="386">
        <f>'prévision 2017'!H1102</f>
        <v>0</v>
      </c>
      <c r="H1100" s="167">
        <f>'prévision 2017'!G1102</f>
        <v>0</v>
      </c>
    </row>
    <row r="1101" spans="1:8" ht="30" customHeight="1">
      <c r="A1101" s="165" t="s">
        <v>127</v>
      </c>
      <c r="B1101" s="463">
        <v>1312</v>
      </c>
      <c r="C1101" s="384" t="s">
        <v>508</v>
      </c>
      <c r="D1101" s="365">
        <v>6021</v>
      </c>
      <c r="E1101" s="368" t="s">
        <v>68</v>
      </c>
      <c r="F1101" s="386">
        <f>'prévision 2017'!I1103</f>
        <v>0</v>
      </c>
      <c r="G1101" s="386">
        <f>'prévision 2017'!H1103</f>
        <v>0</v>
      </c>
      <c r="H1101" s="167">
        <f>'prévision 2017'!G1103</f>
        <v>0</v>
      </c>
    </row>
    <row r="1102" spans="1:8" ht="30" customHeight="1">
      <c r="A1102" s="165" t="s">
        <v>127</v>
      </c>
      <c r="B1102" s="463">
        <v>1312</v>
      </c>
      <c r="C1102" s="384" t="s">
        <v>508</v>
      </c>
      <c r="D1102" s="365">
        <v>6433</v>
      </c>
      <c r="E1102" s="390" t="s">
        <v>42</v>
      </c>
      <c r="F1102" s="386">
        <f>'prévision 2017'!I1104</f>
        <v>0</v>
      </c>
      <c r="G1102" s="386">
        <f>'prévision 2017'!H1104</f>
        <v>0</v>
      </c>
      <c r="H1102" s="167">
        <f>'prévision 2017'!G1104</f>
        <v>0</v>
      </c>
    </row>
    <row r="1103" spans="1:8" ht="30" customHeight="1">
      <c r="A1103" s="165" t="s">
        <v>127</v>
      </c>
      <c r="B1103" s="463">
        <v>1312</v>
      </c>
      <c r="C1103" s="384" t="s">
        <v>508</v>
      </c>
      <c r="D1103" s="365">
        <v>2121</v>
      </c>
      <c r="E1103" s="390" t="s">
        <v>590</v>
      </c>
      <c r="F1103" s="386">
        <f>'prévision 2017'!I1105</f>
        <v>0</v>
      </c>
      <c r="G1103" s="386">
        <f>'prévision 2017'!H1105</f>
        <v>0</v>
      </c>
      <c r="H1103" s="167">
        <f>'prévision 2017'!G1105</f>
        <v>0</v>
      </c>
    </row>
    <row r="1104" spans="1:8" ht="30" customHeight="1">
      <c r="A1104" s="165" t="s">
        <v>127</v>
      </c>
      <c r="B1104" s="463">
        <v>1312</v>
      </c>
      <c r="C1104" s="384" t="s">
        <v>508</v>
      </c>
      <c r="D1104" s="365">
        <v>2128</v>
      </c>
      <c r="E1104" s="390" t="s">
        <v>600</v>
      </c>
      <c r="F1104" s="386">
        <f>'prévision 2017'!I1106</f>
        <v>233000000</v>
      </c>
      <c r="G1104" s="386">
        <f>'prévision 2017'!H1106</f>
        <v>0</v>
      </c>
      <c r="H1104" s="167">
        <f>'prévision 2017'!G1106</f>
        <v>500000000</v>
      </c>
    </row>
    <row r="1105" spans="1:8" ht="30" customHeight="1">
      <c r="A1105" s="165" t="s">
        <v>127</v>
      </c>
      <c r="B1105" s="463">
        <v>1312</v>
      </c>
      <c r="C1105" s="384" t="s">
        <v>508</v>
      </c>
      <c r="D1105" s="365">
        <v>2161</v>
      </c>
      <c r="E1105" s="390" t="s">
        <v>628</v>
      </c>
      <c r="F1105" s="386">
        <f>'prévision 2017'!I1107</f>
        <v>0</v>
      </c>
      <c r="G1105" s="386">
        <f>'prévision 2017'!H1107</f>
        <v>0</v>
      </c>
      <c r="H1105" s="167">
        <f>'prévision 2017'!G1107</f>
        <v>1233000000</v>
      </c>
    </row>
    <row r="1106" spans="1:8" ht="30" customHeight="1">
      <c r="A1106" s="165" t="s">
        <v>127</v>
      </c>
      <c r="B1106" s="463">
        <v>1312</v>
      </c>
      <c r="C1106" s="384" t="s">
        <v>508</v>
      </c>
      <c r="D1106" s="365">
        <v>2182</v>
      </c>
      <c r="E1106" s="390" t="s">
        <v>43</v>
      </c>
      <c r="F1106" s="386">
        <f>'prévision 2017'!I1108</f>
        <v>0</v>
      </c>
      <c r="G1106" s="386">
        <f>'prévision 2017'!H1108</f>
        <v>0</v>
      </c>
      <c r="H1106" s="167">
        <f>'prévision 2017'!G1108</f>
        <v>0</v>
      </c>
    </row>
    <row r="1107" spans="1:8" ht="30" customHeight="1">
      <c r="A1107" s="165" t="s">
        <v>127</v>
      </c>
      <c r="B1107" s="463">
        <v>1312</v>
      </c>
      <c r="C1107" s="160" t="s">
        <v>508</v>
      </c>
      <c r="D1107" s="492" t="s">
        <v>463</v>
      </c>
      <c r="F1107" s="520">
        <f>SUM(F1089:F1106)</f>
        <v>252000000</v>
      </c>
      <c r="G1107" s="520">
        <f>SUM(G1089:G1106)</f>
        <v>14250000</v>
      </c>
      <c r="H1107" s="491">
        <f>SUM(H1089:H1106)</f>
        <v>1752000000</v>
      </c>
    </row>
    <row r="1108" spans="1:7" ht="30" customHeight="1">
      <c r="A1108" s="165" t="s">
        <v>127</v>
      </c>
      <c r="B1108" s="463">
        <v>1313</v>
      </c>
      <c r="C1108" s="493" t="s">
        <v>160</v>
      </c>
      <c r="F1108" s="386"/>
      <c r="G1108" s="596"/>
    </row>
    <row r="1109" spans="1:8" ht="30" customHeight="1">
      <c r="A1109" s="165" t="s">
        <v>127</v>
      </c>
      <c r="B1109" s="463">
        <v>1313</v>
      </c>
      <c r="C1109" s="156" t="s">
        <v>506</v>
      </c>
      <c r="D1109" s="365">
        <v>60100</v>
      </c>
      <c r="E1109" s="368" t="s">
        <v>7</v>
      </c>
      <c r="F1109" s="386">
        <f>'prévision 2017'!I1111</f>
        <v>800000</v>
      </c>
      <c r="G1109" s="386">
        <f>'prévision 2017'!H1111</f>
        <v>0</v>
      </c>
      <c r="H1109" s="167">
        <f>'prévision 2017'!G1111</f>
        <v>800000</v>
      </c>
    </row>
    <row r="1110" spans="1:8" ht="30" customHeight="1">
      <c r="A1110" s="165" t="s">
        <v>127</v>
      </c>
      <c r="B1110" s="463">
        <v>1313</v>
      </c>
      <c r="C1110" s="156" t="s">
        <v>506</v>
      </c>
      <c r="D1110" s="365">
        <v>6122</v>
      </c>
      <c r="E1110" s="389" t="s">
        <v>582</v>
      </c>
      <c r="F1110" s="386">
        <f>'prévision 2017'!I1112</f>
        <v>600000</v>
      </c>
      <c r="G1110" s="386">
        <f>'prévision 2017'!H1112</f>
        <v>0</v>
      </c>
      <c r="H1110" s="167">
        <f>'prévision 2017'!G1112</f>
        <v>600000</v>
      </c>
    </row>
    <row r="1111" spans="1:8" ht="30" customHeight="1">
      <c r="A1111" s="165" t="s">
        <v>127</v>
      </c>
      <c r="B1111" s="463">
        <v>1313</v>
      </c>
      <c r="C1111" s="156" t="s">
        <v>506</v>
      </c>
      <c r="D1111" s="365">
        <v>61321</v>
      </c>
      <c r="E1111" s="389" t="s">
        <v>629</v>
      </c>
      <c r="F1111" s="386">
        <f>'prévision 2017'!I1113</f>
        <v>666959880</v>
      </c>
      <c r="G1111" s="386">
        <f>'prévision 2017'!H1113</f>
        <v>798414980</v>
      </c>
      <c r="H1111" s="167">
        <f>'prévision 2017'!G1113</f>
        <v>666959880</v>
      </c>
    </row>
    <row r="1112" spans="1:8" ht="30" customHeight="1">
      <c r="A1112" s="165" t="s">
        <v>127</v>
      </c>
      <c r="B1112" s="463">
        <v>1313</v>
      </c>
      <c r="C1112" s="156" t="s">
        <v>506</v>
      </c>
      <c r="D1112" s="365">
        <v>61322</v>
      </c>
      <c r="E1112" s="389" t="s">
        <v>643</v>
      </c>
      <c r="F1112" s="386">
        <f>'prévision 2017'!I1114</f>
        <v>688648300</v>
      </c>
      <c r="G1112" s="386">
        <f>'prévision 2017'!H1114</f>
        <v>52123983</v>
      </c>
      <c r="H1112" s="167">
        <f>'prévision 2017'!G1114</f>
        <v>688648300</v>
      </c>
    </row>
    <row r="1113" spans="1:8" ht="30" customHeight="1">
      <c r="A1113" s="165" t="s">
        <v>127</v>
      </c>
      <c r="B1113" s="463">
        <v>1313</v>
      </c>
      <c r="C1113" s="156" t="s">
        <v>506</v>
      </c>
      <c r="D1113" s="365">
        <v>6174</v>
      </c>
      <c r="E1113" s="368" t="s">
        <v>40</v>
      </c>
      <c r="F1113" s="386">
        <f>'prévision 2017'!I1115</f>
        <v>600000</v>
      </c>
      <c r="G1113" s="386">
        <f>'prévision 2017'!H1115</f>
        <v>0</v>
      </c>
      <c r="H1113" s="167">
        <f>'prévision 2017'!G1115</f>
        <v>600000</v>
      </c>
    </row>
    <row r="1114" spans="1:8" ht="30" customHeight="1">
      <c r="A1114" s="165" t="s">
        <v>127</v>
      </c>
      <c r="B1114" s="463">
        <v>1313</v>
      </c>
      <c r="C1114" s="156" t="s">
        <v>506</v>
      </c>
      <c r="D1114" s="492" t="s">
        <v>463</v>
      </c>
      <c r="F1114" s="520">
        <f>SUM(F1109:F1113)</f>
        <v>1357608180</v>
      </c>
      <c r="G1114" s="520">
        <f>SUM(G1109:G1113)</f>
        <v>850538963</v>
      </c>
      <c r="H1114" s="491">
        <f>SUM(H1109:H1113)</f>
        <v>1357608180</v>
      </c>
    </row>
    <row r="1115" spans="1:7" ht="30" customHeight="1">
      <c r="A1115" s="165" t="s">
        <v>127</v>
      </c>
      <c r="B1115" s="463">
        <v>1315</v>
      </c>
      <c r="C1115" s="441" t="s">
        <v>161</v>
      </c>
      <c r="F1115" s="386"/>
      <c r="G1115" s="596"/>
    </row>
    <row r="1116" spans="1:8" ht="30" customHeight="1">
      <c r="A1116" s="165" t="s">
        <v>127</v>
      </c>
      <c r="B1116" s="463">
        <v>1315</v>
      </c>
      <c r="C1116" s="156" t="s">
        <v>506</v>
      </c>
      <c r="D1116" s="365">
        <v>60100</v>
      </c>
      <c r="E1116" s="368" t="s">
        <v>7</v>
      </c>
      <c r="F1116" s="386">
        <f>'prévision 2017'!I1118</f>
        <v>600000</v>
      </c>
      <c r="G1116" s="386">
        <f>'prévision 2017'!H1118</f>
        <v>0</v>
      </c>
      <c r="H1116" s="167">
        <f>'prévision 2017'!G1118</f>
        <v>600000</v>
      </c>
    </row>
    <row r="1117" spans="1:8" ht="30" customHeight="1">
      <c r="A1117" s="165" t="s">
        <v>127</v>
      </c>
      <c r="B1117" s="463">
        <v>1315</v>
      </c>
      <c r="C1117" s="156" t="s">
        <v>506</v>
      </c>
      <c r="D1117" s="365">
        <v>6122</v>
      </c>
      <c r="E1117" s="389" t="s">
        <v>582</v>
      </c>
      <c r="F1117" s="386">
        <f>'prévision 2017'!I1119</f>
        <v>500000</v>
      </c>
      <c r="G1117" s="386">
        <f>'prévision 2017'!H1119</f>
        <v>0</v>
      </c>
      <c r="H1117" s="167">
        <f>'prévision 2017'!G1119</f>
        <v>500000</v>
      </c>
    </row>
    <row r="1118" spans="1:8" ht="30" customHeight="1">
      <c r="A1118" s="165" t="s">
        <v>127</v>
      </c>
      <c r="B1118" s="463">
        <v>1315</v>
      </c>
      <c r="C1118" s="160" t="s">
        <v>506</v>
      </c>
      <c r="D1118" s="494" t="s">
        <v>513</v>
      </c>
      <c r="F1118" s="520">
        <f>SUM(F1116:F1117)</f>
        <v>1100000</v>
      </c>
      <c r="G1118" s="520">
        <f>SUM(G1116:G1117)</f>
        <v>0</v>
      </c>
      <c r="H1118" s="491">
        <f>SUM(H1116:H1117)</f>
        <v>1100000</v>
      </c>
    </row>
    <row r="1119" spans="1:7" ht="30" customHeight="1">
      <c r="A1119" s="165" t="s">
        <v>127</v>
      </c>
      <c r="B1119" s="463">
        <v>1317</v>
      </c>
      <c r="C1119" s="380" t="s">
        <v>331</v>
      </c>
      <c r="F1119" s="386"/>
      <c r="G1119" s="596"/>
    </row>
    <row r="1120" spans="1:8" ht="30" customHeight="1">
      <c r="A1120" s="165" t="s">
        <v>127</v>
      </c>
      <c r="B1120" s="463">
        <v>1317</v>
      </c>
      <c r="C1120" s="156" t="s">
        <v>507</v>
      </c>
      <c r="D1120" s="466">
        <v>6173</v>
      </c>
      <c r="E1120" s="495" t="s">
        <v>19</v>
      </c>
      <c r="F1120" s="386">
        <f>'prévision 2017'!I1122</f>
        <v>15000000</v>
      </c>
      <c r="G1120" s="386">
        <f>'prévision 2017'!H1122</f>
        <v>15000000</v>
      </c>
      <c r="H1120" s="167">
        <f>'prévision 2017'!G1122</f>
        <v>15000000</v>
      </c>
    </row>
    <row r="1121" spans="1:8" ht="30" customHeight="1">
      <c r="A1121" s="165" t="s">
        <v>127</v>
      </c>
      <c r="B1121" s="463">
        <v>1317</v>
      </c>
      <c r="C1121" s="156" t="s">
        <v>507</v>
      </c>
      <c r="D1121" s="379" t="s">
        <v>463</v>
      </c>
      <c r="F1121" s="520">
        <f>SUM(F1120)</f>
        <v>15000000</v>
      </c>
      <c r="G1121" s="520">
        <f>SUM(G1120)</f>
        <v>15000000</v>
      </c>
      <c r="H1121" s="491">
        <f>SUM(H1120)</f>
        <v>15000000</v>
      </c>
    </row>
    <row r="1122" spans="1:7" ht="30" customHeight="1">
      <c r="A1122" s="165" t="s">
        <v>127</v>
      </c>
      <c r="B1122" s="463">
        <v>1318</v>
      </c>
      <c r="C1122" s="380" t="s">
        <v>223</v>
      </c>
      <c r="F1122" s="386"/>
      <c r="G1122" s="596"/>
    </row>
    <row r="1123" spans="1:8" ht="30" customHeight="1">
      <c r="A1123" s="165" t="s">
        <v>127</v>
      </c>
      <c r="B1123" s="463">
        <v>1318</v>
      </c>
      <c r="C1123" s="156" t="s">
        <v>506</v>
      </c>
      <c r="D1123" s="489">
        <v>6173</v>
      </c>
      <c r="E1123" s="496" t="s">
        <v>224</v>
      </c>
      <c r="F1123" s="386">
        <f>'prévision 2017'!I1125</f>
        <v>35166121</v>
      </c>
      <c r="G1123" s="386">
        <f>'prévision 2017'!H1125</f>
        <v>0</v>
      </c>
      <c r="H1123" s="167">
        <f>'prévision 2017'!G1125</f>
        <v>35166121</v>
      </c>
    </row>
    <row r="1124" spans="1:8" ht="30" customHeight="1">
      <c r="A1124" s="165" t="s">
        <v>127</v>
      </c>
      <c r="B1124" s="463">
        <v>1318</v>
      </c>
      <c r="C1124" s="160" t="s">
        <v>506</v>
      </c>
      <c r="D1124" s="380" t="s">
        <v>463</v>
      </c>
      <c r="F1124" s="520">
        <f>SUM(F1123)</f>
        <v>35166121</v>
      </c>
      <c r="G1124" s="520">
        <f>SUM(G1123)</f>
        <v>0</v>
      </c>
      <c r="H1124" s="491">
        <f>SUM(H1123)</f>
        <v>35166121</v>
      </c>
    </row>
    <row r="1125" spans="1:7" ht="30" customHeight="1">
      <c r="A1125" s="165" t="s">
        <v>127</v>
      </c>
      <c r="B1125" s="463">
        <v>1319</v>
      </c>
      <c r="C1125" s="380" t="s">
        <v>313</v>
      </c>
      <c r="D1125" s="496"/>
      <c r="F1125" s="386"/>
      <c r="G1125" s="596"/>
    </row>
    <row r="1126" spans="1:8" ht="30" customHeight="1">
      <c r="A1126" s="165" t="s">
        <v>127</v>
      </c>
      <c r="B1126" s="463">
        <v>1319</v>
      </c>
      <c r="C1126" s="156" t="s">
        <v>478</v>
      </c>
      <c r="D1126" s="466">
        <v>6611</v>
      </c>
      <c r="E1126" s="496" t="s">
        <v>6</v>
      </c>
      <c r="F1126" s="386">
        <f>'prévision 2017'!I1128</f>
        <v>0</v>
      </c>
      <c r="G1126" s="386">
        <f>'prévision 2017'!H1128</f>
        <v>0</v>
      </c>
      <c r="H1126" s="167">
        <f>'prévision 2017'!G1128</f>
        <v>0</v>
      </c>
    </row>
    <row r="1127" spans="1:8" ht="30" customHeight="1">
      <c r="A1127" s="165" t="s">
        <v>127</v>
      </c>
      <c r="B1127" s="463">
        <v>1319</v>
      </c>
      <c r="C1127" s="384" t="s">
        <v>478</v>
      </c>
      <c r="D1127" s="490">
        <v>6173</v>
      </c>
      <c r="E1127" s="497" t="s">
        <v>224</v>
      </c>
      <c r="F1127" s="386">
        <f>'prévision 2017'!I1129</f>
        <v>5000000</v>
      </c>
      <c r="G1127" s="386">
        <f>'prévision 2017'!H1129</f>
        <v>2500000</v>
      </c>
      <c r="H1127" s="167">
        <f>'prévision 2017'!G1129</f>
        <v>5000000</v>
      </c>
    </row>
    <row r="1128" spans="1:8" ht="30" customHeight="1">
      <c r="A1128" s="165" t="s">
        <v>127</v>
      </c>
      <c r="B1128" s="463">
        <v>1319</v>
      </c>
      <c r="C1128" s="156" t="s">
        <v>478</v>
      </c>
      <c r="D1128" s="380" t="s">
        <v>463</v>
      </c>
      <c r="F1128" s="520">
        <f>SUM(F1126:F1127)</f>
        <v>5000000</v>
      </c>
      <c r="G1128" s="520">
        <f>SUM(G1126:G1127)</f>
        <v>2500000</v>
      </c>
      <c r="H1128" s="491">
        <f>SUM(H1126:H1127)</f>
        <v>5000000</v>
      </c>
    </row>
    <row r="1129" spans="1:8" ht="30" customHeight="1">
      <c r="A1129" s="165" t="s">
        <v>127</v>
      </c>
      <c r="B1129" s="463" t="s">
        <v>72</v>
      </c>
      <c r="C1129" s="156"/>
      <c r="F1129" s="520">
        <f>F1128+F1124+F1121+F1118+F1114+F1107+F1087+F1082+F1077+F1069+F1061+F1053+F1050+F1045+F1042+F1038+F1031</f>
        <v>3901210168</v>
      </c>
      <c r="G1129" s="520">
        <f>G1128+G1124+G1121+G1118+G1114+G1107+G1087+G1082+G1077+G1069+G1061+G1053+G1050+G1045+G1042+G1038+G1031</f>
        <v>2683395156.2299995</v>
      </c>
      <c r="H1129" s="491">
        <f>H1128+H1124+H1121+H1118+H1114+H1107+H1087+H1082+H1077+H1069+H1061+H1053+H1050+H1045+H1042+H1038+H1031</f>
        <v>5401210168</v>
      </c>
    </row>
    <row r="1130" spans="1:7" ht="30" customHeight="1">
      <c r="A1130" s="387" t="s">
        <v>130</v>
      </c>
      <c r="B1130" s="463" t="s">
        <v>631</v>
      </c>
      <c r="C1130" s="443"/>
      <c r="F1130" s="386"/>
      <c r="G1130" s="596"/>
    </row>
    <row r="1131" spans="1:7" ht="30" customHeight="1">
      <c r="A1131" s="387" t="s">
        <v>130</v>
      </c>
      <c r="B1131" s="463">
        <v>1401</v>
      </c>
      <c r="C1131" s="471" t="s">
        <v>547</v>
      </c>
      <c r="F1131" s="386"/>
      <c r="G1131" s="596"/>
    </row>
    <row r="1132" spans="1:8" ht="30" customHeight="1">
      <c r="A1132" s="165" t="s">
        <v>130</v>
      </c>
      <c r="B1132" s="463">
        <v>1401</v>
      </c>
      <c r="C1132" s="156" t="s">
        <v>362</v>
      </c>
      <c r="D1132" s="365">
        <v>6611</v>
      </c>
      <c r="E1132" s="368" t="s">
        <v>6</v>
      </c>
      <c r="F1132" s="386">
        <f>'prévision 2017'!I1134</f>
        <v>16302000</v>
      </c>
      <c r="G1132" s="386">
        <f>'prévision 2017'!H1134</f>
        <v>35247165.800000004</v>
      </c>
      <c r="H1132" s="167">
        <f>'prévision 2017'!G1134</f>
        <v>16302000</v>
      </c>
    </row>
    <row r="1133" spans="1:8" ht="30" customHeight="1">
      <c r="A1133" s="165" t="s">
        <v>130</v>
      </c>
      <c r="B1133" s="463">
        <v>1401</v>
      </c>
      <c r="C1133" s="156" t="s">
        <v>362</v>
      </c>
      <c r="D1133" s="365">
        <v>60100</v>
      </c>
      <c r="E1133" s="368" t="s">
        <v>7</v>
      </c>
      <c r="F1133" s="386">
        <f>'prévision 2017'!I1135</f>
        <v>800600</v>
      </c>
      <c r="G1133" s="386">
        <f>'prévision 2017'!H1135</f>
        <v>445500</v>
      </c>
      <c r="H1133" s="167">
        <f>'prévision 2017'!G1135</f>
        <v>800600</v>
      </c>
    </row>
    <row r="1134" spans="1:8" ht="30" customHeight="1">
      <c r="A1134" s="418" t="s">
        <v>130</v>
      </c>
      <c r="B1134" s="463">
        <v>1401</v>
      </c>
      <c r="C1134" s="156" t="s">
        <v>362</v>
      </c>
      <c r="D1134" s="365">
        <v>60101</v>
      </c>
      <c r="E1134" s="368" t="s">
        <v>288</v>
      </c>
      <c r="F1134" s="386">
        <f>'prévision 2017'!I1136</f>
        <v>0</v>
      </c>
      <c r="G1134" s="386">
        <f>'prévision 2017'!H1136</f>
        <v>0</v>
      </c>
      <c r="H1134" s="167">
        <f>'prévision 2017'!G1136</f>
        <v>0</v>
      </c>
    </row>
    <row r="1135" spans="1:8" ht="30" customHeight="1">
      <c r="A1135" s="165" t="s">
        <v>130</v>
      </c>
      <c r="B1135" s="463">
        <v>1401</v>
      </c>
      <c r="C1135" s="156" t="s">
        <v>362</v>
      </c>
      <c r="D1135" s="365">
        <v>6122</v>
      </c>
      <c r="E1135" s="389" t="s">
        <v>582</v>
      </c>
      <c r="F1135" s="386">
        <f>'prévision 2017'!I1137</f>
        <v>600000</v>
      </c>
      <c r="G1135" s="386">
        <f>'prévision 2017'!H1137</f>
        <v>0</v>
      </c>
      <c r="H1135" s="167">
        <f>'prévision 2017'!G1137</f>
        <v>600000</v>
      </c>
    </row>
    <row r="1136" spans="1:14" ht="30" customHeight="1">
      <c r="A1136" s="165" t="s">
        <v>130</v>
      </c>
      <c r="B1136" s="463">
        <v>1401</v>
      </c>
      <c r="C1136" s="156" t="s">
        <v>362</v>
      </c>
      <c r="D1136" s="365">
        <v>6133</v>
      </c>
      <c r="E1136" s="368" t="s">
        <v>110</v>
      </c>
      <c r="F1136" s="386">
        <f>'prévision 2017'!I1138</f>
        <v>6875000</v>
      </c>
      <c r="G1136" s="386">
        <f>'prévision 2017'!H1138</f>
        <v>0</v>
      </c>
      <c r="H1136" s="167">
        <f>'prévision 2017'!G1138</f>
        <v>6875000</v>
      </c>
      <c r="N1136" s="166"/>
    </row>
    <row r="1137" spans="1:8" ht="30" customHeight="1">
      <c r="A1137" s="165" t="s">
        <v>130</v>
      </c>
      <c r="B1137" s="463">
        <v>1401</v>
      </c>
      <c r="C1137" s="156" t="s">
        <v>362</v>
      </c>
      <c r="D1137" s="365">
        <v>6051</v>
      </c>
      <c r="E1137" s="368" t="s">
        <v>601</v>
      </c>
      <c r="F1137" s="386">
        <f>'prévision 2017'!I1139</f>
        <v>0</v>
      </c>
      <c r="G1137" s="386">
        <f>'prévision 2017'!H1139</f>
        <v>0</v>
      </c>
      <c r="H1137" s="167">
        <f>'prévision 2017'!G1139</f>
        <v>0</v>
      </c>
    </row>
    <row r="1138" spans="1:8" ht="30" customHeight="1">
      <c r="A1138" s="165" t="s">
        <v>130</v>
      </c>
      <c r="B1138" s="463">
        <v>1401</v>
      </c>
      <c r="C1138" s="156" t="s">
        <v>362</v>
      </c>
      <c r="D1138" s="365">
        <v>6052</v>
      </c>
      <c r="E1138" s="368" t="s">
        <v>598</v>
      </c>
      <c r="F1138" s="386">
        <f>'prévision 2017'!I1140</f>
        <v>330000</v>
      </c>
      <c r="G1138" s="386">
        <f>'prévision 2017'!H1140</f>
        <v>0</v>
      </c>
      <c r="H1138" s="167">
        <f>'prévision 2017'!G1140</f>
        <v>330000</v>
      </c>
    </row>
    <row r="1139" spans="1:8" ht="30" customHeight="1">
      <c r="A1139" s="165" t="s">
        <v>130</v>
      </c>
      <c r="B1139" s="463">
        <v>1401</v>
      </c>
      <c r="C1139" s="156" t="s">
        <v>362</v>
      </c>
      <c r="D1139" s="365">
        <v>6175</v>
      </c>
      <c r="E1139" s="368" t="s">
        <v>13</v>
      </c>
      <c r="F1139" s="386">
        <f>'prévision 2017'!I1141</f>
        <v>900000</v>
      </c>
      <c r="G1139" s="386">
        <f>'prévision 2017'!H1141</f>
        <v>545000</v>
      </c>
      <c r="H1139" s="167">
        <f>'prévision 2017'!G1141</f>
        <v>900000</v>
      </c>
    </row>
    <row r="1140" spans="1:8" ht="30" customHeight="1">
      <c r="A1140" s="165" t="s">
        <v>130</v>
      </c>
      <c r="B1140" s="463">
        <v>1401</v>
      </c>
      <c r="C1140" s="156" t="s">
        <v>362</v>
      </c>
      <c r="D1140" s="365">
        <v>2165</v>
      </c>
      <c r="E1140" s="368" t="s">
        <v>283</v>
      </c>
      <c r="F1140" s="386">
        <f>'prévision 2017'!I1142</f>
        <v>0</v>
      </c>
      <c r="G1140" s="386">
        <f>'prévision 2017'!H1142</f>
        <v>0</v>
      </c>
      <c r="H1140" s="167">
        <f>'prévision 2017'!G1142</f>
        <v>0</v>
      </c>
    </row>
    <row r="1141" spans="1:8" ht="30" customHeight="1">
      <c r="A1141" s="165" t="s">
        <v>130</v>
      </c>
      <c r="B1141" s="463">
        <v>1401</v>
      </c>
      <c r="C1141" s="160" t="s">
        <v>362</v>
      </c>
      <c r="D1141" s="379" t="s">
        <v>463</v>
      </c>
      <c r="F1141" s="520">
        <f>SUM(F1132:F1139)</f>
        <v>25807600</v>
      </c>
      <c r="G1141" s="520">
        <f>SUM(G1132:G1139)</f>
        <v>36237665.800000004</v>
      </c>
      <c r="H1141" s="491">
        <f>SUM(H1132:H1139)</f>
        <v>25807600</v>
      </c>
    </row>
    <row r="1142" spans="1:7" ht="30" customHeight="1">
      <c r="A1142" s="165" t="s">
        <v>130</v>
      </c>
      <c r="B1142" s="463">
        <v>1402</v>
      </c>
      <c r="C1142" s="435" t="s">
        <v>66</v>
      </c>
      <c r="F1142" s="386"/>
      <c r="G1142" s="596"/>
    </row>
    <row r="1143" spans="1:8" ht="30" customHeight="1">
      <c r="A1143" s="165" t="s">
        <v>130</v>
      </c>
      <c r="B1143" s="463">
        <v>1402</v>
      </c>
      <c r="C1143" s="156" t="s">
        <v>362</v>
      </c>
      <c r="D1143" s="365">
        <v>6611</v>
      </c>
      <c r="E1143" s="368" t="s">
        <v>6</v>
      </c>
      <c r="F1143" s="386">
        <f>'prévision 2017'!I1145</f>
        <v>17716600</v>
      </c>
      <c r="G1143" s="386">
        <f>'prévision 2017'!H1145</f>
        <v>10716399.720000004</v>
      </c>
      <c r="H1143" s="167">
        <f>'prévision 2017'!G1145</f>
        <v>17716600</v>
      </c>
    </row>
    <row r="1144" spans="1:8" ht="30" customHeight="1">
      <c r="A1144" s="165" t="s">
        <v>130</v>
      </c>
      <c r="B1144" s="452">
        <v>1402</v>
      </c>
      <c r="C1144" s="156" t="s">
        <v>362</v>
      </c>
      <c r="D1144" s="365">
        <v>60100</v>
      </c>
      <c r="E1144" s="368" t="s">
        <v>7</v>
      </c>
      <c r="F1144" s="386">
        <f>'prévision 2017'!I1146</f>
        <v>500000</v>
      </c>
      <c r="G1144" s="386">
        <f>'prévision 2017'!H1146</f>
        <v>122200</v>
      </c>
      <c r="H1144" s="167">
        <f>'prévision 2017'!G1146</f>
        <v>500000</v>
      </c>
    </row>
    <row r="1145" spans="1:8" ht="30" customHeight="1">
      <c r="A1145" s="165" t="s">
        <v>130</v>
      </c>
      <c r="B1145" s="452">
        <v>1402</v>
      </c>
      <c r="C1145" s="156" t="s">
        <v>362</v>
      </c>
      <c r="D1145" s="365">
        <v>60101</v>
      </c>
      <c r="E1145" s="368" t="s">
        <v>255</v>
      </c>
      <c r="F1145" s="386">
        <f>'prévision 2017'!I1147</f>
        <v>0</v>
      </c>
      <c r="G1145" s="386">
        <f>'prévision 2017'!H1147</f>
        <v>0</v>
      </c>
      <c r="H1145" s="167">
        <f>'prévision 2017'!G1147</f>
        <v>0</v>
      </c>
    </row>
    <row r="1146" spans="1:8" ht="30" customHeight="1">
      <c r="A1146" s="165" t="s">
        <v>130</v>
      </c>
      <c r="B1146" s="452">
        <v>1402</v>
      </c>
      <c r="C1146" s="156" t="s">
        <v>362</v>
      </c>
      <c r="D1146" s="365">
        <v>6122</v>
      </c>
      <c r="E1146" s="389" t="s">
        <v>582</v>
      </c>
      <c r="F1146" s="386">
        <f>'prévision 2017'!I1148</f>
        <v>400000</v>
      </c>
      <c r="G1146" s="386">
        <f>'prévision 2017'!H1148</f>
        <v>100000</v>
      </c>
      <c r="H1146" s="167">
        <f>'prévision 2017'!G1148</f>
        <v>400000</v>
      </c>
    </row>
    <row r="1147" spans="1:8" ht="30" customHeight="1">
      <c r="A1147" s="165" t="s">
        <v>130</v>
      </c>
      <c r="B1147" s="452">
        <v>1402</v>
      </c>
      <c r="C1147" s="156" t="s">
        <v>362</v>
      </c>
      <c r="D1147" s="365">
        <v>6175</v>
      </c>
      <c r="E1147" s="368" t="s">
        <v>13</v>
      </c>
      <c r="F1147" s="386">
        <f>'prévision 2017'!I1149</f>
        <v>0</v>
      </c>
      <c r="G1147" s="386">
        <f>'prévision 2017'!H1149</f>
        <v>0</v>
      </c>
      <c r="H1147" s="167">
        <f>'prévision 2017'!G1149</f>
        <v>0</v>
      </c>
    </row>
    <row r="1148" spans="1:8" ht="30" customHeight="1">
      <c r="A1148" s="165" t="s">
        <v>130</v>
      </c>
      <c r="B1148" s="452">
        <v>1402</v>
      </c>
      <c r="C1148" s="160" t="s">
        <v>362</v>
      </c>
      <c r="D1148" s="379" t="s">
        <v>463</v>
      </c>
      <c r="F1148" s="520">
        <f>SUM(F1143:F1146)</f>
        <v>18616600</v>
      </c>
      <c r="G1148" s="520">
        <f>SUM(G1143:G1146)</f>
        <v>10938599.720000004</v>
      </c>
      <c r="H1148" s="491">
        <f>SUM(H1143:H1146)</f>
        <v>18616600</v>
      </c>
    </row>
    <row r="1149" spans="1:7" ht="30" customHeight="1">
      <c r="A1149" s="165" t="s">
        <v>130</v>
      </c>
      <c r="B1149" s="461">
        <v>1403</v>
      </c>
      <c r="C1149" s="435" t="s">
        <v>162</v>
      </c>
      <c r="D1149" s="445"/>
      <c r="F1149" s="386"/>
      <c r="G1149" s="596"/>
    </row>
    <row r="1150" spans="1:8" ht="30" customHeight="1">
      <c r="A1150" s="165" t="s">
        <v>130</v>
      </c>
      <c r="B1150" s="413">
        <v>1403</v>
      </c>
      <c r="C1150" s="156" t="s">
        <v>362</v>
      </c>
      <c r="D1150" s="365">
        <v>6611</v>
      </c>
      <c r="E1150" s="368" t="s">
        <v>6</v>
      </c>
      <c r="F1150" s="386">
        <f>'prévision 2017'!I1152</f>
        <v>1792000</v>
      </c>
      <c r="G1150" s="386">
        <f>'prévision 2017'!H1152</f>
        <v>2861199.9600000004</v>
      </c>
      <c r="H1150" s="167">
        <f>'prévision 2017'!G1152</f>
        <v>1792000</v>
      </c>
    </row>
    <row r="1151" spans="1:8" ht="30" customHeight="1">
      <c r="A1151" s="165" t="s">
        <v>130</v>
      </c>
      <c r="B1151" s="413">
        <v>1403</v>
      </c>
      <c r="C1151" s="156" t="s">
        <v>362</v>
      </c>
      <c r="D1151" s="365">
        <v>6682</v>
      </c>
      <c r="E1151" s="368" t="s">
        <v>262</v>
      </c>
      <c r="F1151" s="386">
        <f>'prévision 2017'!I1153</f>
        <v>0</v>
      </c>
      <c r="G1151" s="386">
        <f>'prévision 2017'!H1153</f>
        <v>0</v>
      </c>
      <c r="H1151" s="167">
        <f>'prévision 2017'!G1153</f>
        <v>0</v>
      </c>
    </row>
    <row r="1152" spans="1:8" ht="30" customHeight="1">
      <c r="A1152" s="165" t="s">
        <v>130</v>
      </c>
      <c r="B1152" s="413">
        <v>1403</v>
      </c>
      <c r="C1152" s="156" t="s">
        <v>362</v>
      </c>
      <c r="D1152" s="365">
        <v>60100</v>
      </c>
      <c r="E1152" s="368" t="s">
        <v>34</v>
      </c>
      <c r="F1152" s="386">
        <f>'prévision 2017'!I1154</f>
        <v>601400</v>
      </c>
      <c r="G1152" s="386">
        <f>'prévision 2017'!H1154</f>
        <v>0</v>
      </c>
      <c r="H1152" s="167">
        <f>'prévision 2017'!G1154</f>
        <v>601400</v>
      </c>
    </row>
    <row r="1153" spans="1:8" ht="30" customHeight="1">
      <c r="A1153" s="418" t="s">
        <v>130</v>
      </c>
      <c r="B1153" s="413">
        <v>1403</v>
      </c>
      <c r="C1153" s="156" t="s">
        <v>362</v>
      </c>
      <c r="D1153" s="365">
        <v>60101</v>
      </c>
      <c r="E1153" s="368" t="s">
        <v>265</v>
      </c>
      <c r="F1153" s="386">
        <f>'prévision 2017'!I1155</f>
        <v>0</v>
      </c>
      <c r="G1153" s="386">
        <f>'prévision 2017'!H1155</f>
        <v>0</v>
      </c>
      <c r="H1153" s="167">
        <f>'prévision 2017'!G1155</f>
        <v>0</v>
      </c>
    </row>
    <row r="1154" spans="1:8" ht="30" customHeight="1">
      <c r="A1154" s="165" t="s">
        <v>130</v>
      </c>
      <c r="B1154" s="413">
        <v>1403</v>
      </c>
      <c r="C1154" s="156" t="s">
        <v>362</v>
      </c>
      <c r="D1154" s="365">
        <v>6122</v>
      </c>
      <c r="E1154" s="389" t="s">
        <v>582</v>
      </c>
      <c r="F1154" s="386">
        <f>'prévision 2017'!I1156</f>
        <v>0</v>
      </c>
      <c r="G1154" s="386">
        <f>'prévision 2017'!H1156</f>
        <v>0</v>
      </c>
      <c r="H1154" s="167">
        <f>'prévision 2017'!G1156</f>
        <v>0</v>
      </c>
    </row>
    <row r="1155" spans="1:8" ht="30" customHeight="1">
      <c r="A1155" s="165" t="s">
        <v>130</v>
      </c>
      <c r="B1155" s="413">
        <v>1403</v>
      </c>
      <c r="C1155" s="156" t="s">
        <v>362</v>
      </c>
      <c r="D1155" s="365">
        <v>6131</v>
      </c>
      <c r="E1155" s="368" t="s">
        <v>269</v>
      </c>
      <c r="F1155" s="386">
        <f>'prévision 2017'!I1157</f>
        <v>0</v>
      </c>
      <c r="G1155" s="386">
        <f>'prévision 2017'!H1157</f>
        <v>0</v>
      </c>
      <c r="H1155" s="167">
        <f>'prévision 2017'!G1157</f>
        <v>0</v>
      </c>
    </row>
    <row r="1156" spans="1:8" ht="30" customHeight="1">
      <c r="A1156" s="165" t="s">
        <v>130</v>
      </c>
      <c r="B1156" s="413">
        <v>1403</v>
      </c>
      <c r="C1156" s="156" t="s">
        <v>362</v>
      </c>
      <c r="D1156" s="365">
        <v>6133</v>
      </c>
      <c r="E1156" s="368" t="s">
        <v>110</v>
      </c>
      <c r="F1156" s="386">
        <f>'prévision 2017'!I1158</f>
        <v>0</v>
      </c>
      <c r="G1156" s="386">
        <f>'prévision 2017'!H1158</f>
        <v>0</v>
      </c>
      <c r="H1156" s="167">
        <f>'prévision 2017'!G1158</f>
        <v>0</v>
      </c>
    </row>
    <row r="1157" spans="1:8" ht="30" customHeight="1">
      <c r="A1157" s="165" t="s">
        <v>130</v>
      </c>
      <c r="B1157" s="413">
        <v>1403</v>
      </c>
      <c r="C1157" s="156" t="s">
        <v>362</v>
      </c>
      <c r="D1157" s="365">
        <v>6051</v>
      </c>
      <c r="E1157" s="368" t="s">
        <v>601</v>
      </c>
      <c r="F1157" s="386">
        <f>'prévision 2017'!I1159</f>
        <v>0</v>
      </c>
      <c r="G1157" s="386">
        <f>'prévision 2017'!H1159</f>
        <v>0</v>
      </c>
      <c r="H1157" s="167">
        <f>'prévision 2017'!G1159</f>
        <v>0</v>
      </c>
    </row>
    <row r="1158" spans="1:8" ht="30" customHeight="1">
      <c r="A1158" s="165" t="s">
        <v>130</v>
      </c>
      <c r="B1158" s="413">
        <v>1403</v>
      </c>
      <c r="C1158" s="156" t="s">
        <v>362</v>
      </c>
      <c r="D1158" s="365">
        <v>6052</v>
      </c>
      <c r="E1158" s="368" t="s">
        <v>598</v>
      </c>
      <c r="F1158" s="386">
        <f>'prévision 2017'!I1160</f>
        <v>480000</v>
      </c>
      <c r="G1158" s="386">
        <f>'prévision 2017'!H1160</f>
        <v>0</v>
      </c>
      <c r="H1158" s="167">
        <f>'prévision 2017'!G1160</f>
        <v>480000</v>
      </c>
    </row>
    <row r="1159" spans="1:8" ht="30" customHeight="1">
      <c r="A1159" s="165" t="s">
        <v>130</v>
      </c>
      <c r="B1159" s="413">
        <v>1403</v>
      </c>
      <c r="C1159" s="156" t="s">
        <v>362</v>
      </c>
      <c r="D1159" s="365">
        <v>6112</v>
      </c>
      <c r="E1159" s="368" t="s">
        <v>236</v>
      </c>
      <c r="F1159" s="386">
        <f>'prévision 2017'!I1161</f>
        <v>0</v>
      </c>
      <c r="G1159" s="386">
        <f>'prévision 2017'!H1161</f>
        <v>0</v>
      </c>
      <c r="H1159" s="167">
        <f>'prévision 2017'!G1161</f>
        <v>0</v>
      </c>
    </row>
    <row r="1160" spans="1:8" ht="30" customHeight="1">
      <c r="A1160" s="165" t="s">
        <v>130</v>
      </c>
      <c r="B1160" s="413">
        <v>1403</v>
      </c>
      <c r="C1160" s="156" t="s">
        <v>362</v>
      </c>
      <c r="D1160" s="365">
        <v>6175</v>
      </c>
      <c r="E1160" s="368" t="s">
        <v>13</v>
      </c>
      <c r="F1160" s="386">
        <f>'prévision 2017'!I1162</f>
        <v>0</v>
      </c>
      <c r="G1160" s="386">
        <f>'prévision 2017'!H1162</f>
        <v>0</v>
      </c>
      <c r="H1160" s="167">
        <f>'prévision 2017'!G1162</f>
        <v>0</v>
      </c>
    </row>
    <row r="1161" spans="1:8" ht="30" customHeight="1">
      <c r="A1161" s="165" t="s">
        <v>130</v>
      </c>
      <c r="B1161" s="413">
        <v>1403</v>
      </c>
      <c r="C1161" s="156" t="s">
        <v>362</v>
      </c>
      <c r="D1161" s="365">
        <v>2171</v>
      </c>
      <c r="E1161" s="368" t="s">
        <v>284</v>
      </c>
      <c r="F1161" s="386">
        <f>'prévision 2017'!I1163</f>
        <v>0</v>
      </c>
      <c r="G1161" s="386">
        <f>'prévision 2017'!H1163</f>
        <v>0</v>
      </c>
      <c r="H1161" s="167">
        <f>'prévision 2017'!G1163</f>
        <v>0</v>
      </c>
    </row>
    <row r="1162" spans="1:8" ht="30" customHeight="1">
      <c r="A1162" s="165" t="s">
        <v>130</v>
      </c>
      <c r="B1162" s="413">
        <v>1403</v>
      </c>
      <c r="C1162" s="160" t="s">
        <v>362</v>
      </c>
      <c r="D1162" s="379" t="s">
        <v>463</v>
      </c>
      <c r="F1162" s="520">
        <f>SUM(F1150:F1160)</f>
        <v>2873400</v>
      </c>
      <c r="G1162" s="520">
        <f>SUM(G1150:G1160)</f>
        <v>2861199.9600000004</v>
      </c>
      <c r="H1162" s="491">
        <f>SUM(H1150:H1160)</f>
        <v>2873400</v>
      </c>
    </row>
    <row r="1163" spans="1:7" ht="30" customHeight="1">
      <c r="A1163" s="165" t="s">
        <v>130</v>
      </c>
      <c r="B1163" s="413">
        <v>1404</v>
      </c>
      <c r="C1163" s="435" t="s">
        <v>163</v>
      </c>
      <c r="D1163" s="168"/>
      <c r="F1163" s="386"/>
      <c r="G1163" s="596"/>
    </row>
    <row r="1164" spans="1:8" ht="30" customHeight="1">
      <c r="A1164" s="165" t="s">
        <v>130</v>
      </c>
      <c r="B1164" s="413">
        <v>1404</v>
      </c>
      <c r="C1164" s="156" t="s">
        <v>362</v>
      </c>
      <c r="D1164" s="365">
        <v>6611</v>
      </c>
      <c r="E1164" s="372" t="s">
        <v>6</v>
      </c>
      <c r="F1164" s="386">
        <f>'prévision 2017'!I1166</f>
        <v>16659200</v>
      </c>
      <c r="G1164" s="386">
        <f>'prévision 2017'!H1166</f>
        <v>14461400.740000004</v>
      </c>
      <c r="H1164" s="167">
        <f>'prévision 2017'!G1166</f>
        <v>16659200</v>
      </c>
    </row>
    <row r="1165" spans="1:8" ht="30" customHeight="1">
      <c r="A1165" s="165" t="s">
        <v>130</v>
      </c>
      <c r="B1165" s="413">
        <v>1404</v>
      </c>
      <c r="C1165" s="156" t="s">
        <v>362</v>
      </c>
      <c r="D1165" s="365">
        <v>6682</v>
      </c>
      <c r="E1165" s="368" t="s">
        <v>262</v>
      </c>
      <c r="F1165" s="386">
        <f>'prévision 2017'!I1167</f>
        <v>0</v>
      </c>
      <c r="G1165" s="386">
        <f>'prévision 2017'!H1167</f>
        <v>0</v>
      </c>
      <c r="H1165" s="167">
        <f>'prévision 2017'!G1167</f>
        <v>0</v>
      </c>
    </row>
    <row r="1166" spans="1:8" ht="30" customHeight="1">
      <c r="A1166" s="165" t="s">
        <v>130</v>
      </c>
      <c r="B1166" s="413">
        <v>1404</v>
      </c>
      <c r="C1166" s="156" t="s">
        <v>362</v>
      </c>
      <c r="D1166" s="365">
        <v>60100</v>
      </c>
      <c r="E1166" s="368" t="s">
        <v>34</v>
      </c>
      <c r="F1166" s="386">
        <f>'prévision 2017'!I1168</f>
        <v>562600</v>
      </c>
      <c r="G1166" s="386">
        <f>'prévision 2017'!H1168</f>
        <v>140000</v>
      </c>
      <c r="H1166" s="167">
        <f>'prévision 2017'!G1168</f>
        <v>562600</v>
      </c>
    </row>
    <row r="1167" spans="1:8" ht="30" customHeight="1">
      <c r="A1167" s="165" t="s">
        <v>130</v>
      </c>
      <c r="B1167" s="413">
        <v>1404</v>
      </c>
      <c r="C1167" s="156" t="s">
        <v>362</v>
      </c>
      <c r="D1167" s="365">
        <v>60101</v>
      </c>
      <c r="E1167" s="368" t="s">
        <v>265</v>
      </c>
      <c r="F1167" s="386">
        <f>'prévision 2017'!I1169</f>
        <v>470000</v>
      </c>
      <c r="G1167" s="386">
        <f>'prévision 2017'!H1169</f>
        <v>117000</v>
      </c>
      <c r="H1167" s="167">
        <f>'prévision 2017'!G1169</f>
        <v>470000</v>
      </c>
    </row>
    <row r="1168" spans="1:8" ht="30" customHeight="1">
      <c r="A1168" s="165" t="s">
        <v>130</v>
      </c>
      <c r="B1168" s="413">
        <v>1404</v>
      </c>
      <c r="C1168" s="156" t="s">
        <v>362</v>
      </c>
      <c r="D1168" s="365">
        <v>6122</v>
      </c>
      <c r="E1168" s="389" t="s">
        <v>582</v>
      </c>
      <c r="F1168" s="386">
        <f>'prévision 2017'!I1170</f>
        <v>400000</v>
      </c>
      <c r="G1168" s="386">
        <f>'prévision 2017'!H1170</f>
        <v>0</v>
      </c>
      <c r="H1168" s="167">
        <f>'prévision 2017'!G1170</f>
        <v>400000</v>
      </c>
    </row>
    <row r="1169" spans="1:8" ht="30" customHeight="1">
      <c r="A1169" s="165" t="s">
        <v>130</v>
      </c>
      <c r="B1169" s="413">
        <v>1404</v>
      </c>
      <c r="C1169" s="156" t="s">
        <v>362</v>
      </c>
      <c r="D1169" s="365">
        <v>6133</v>
      </c>
      <c r="E1169" s="368" t="s">
        <v>110</v>
      </c>
      <c r="F1169" s="386">
        <f>'prévision 2017'!I1171</f>
        <v>0</v>
      </c>
      <c r="G1169" s="386">
        <f>'prévision 2017'!H1171</f>
        <v>0</v>
      </c>
      <c r="H1169" s="167">
        <f>'prévision 2017'!G1171</f>
        <v>0</v>
      </c>
    </row>
    <row r="1170" spans="1:8" ht="30" customHeight="1">
      <c r="A1170" s="165" t="s">
        <v>130</v>
      </c>
      <c r="B1170" s="413">
        <v>1404</v>
      </c>
      <c r="C1170" s="156" t="s">
        <v>362</v>
      </c>
      <c r="D1170" s="365">
        <v>6111</v>
      </c>
      <c r="E1170" s="368" t="s">
        <v>238</v>
      </c>
      <c r="F1170" s="386">
        <f>'prévision 2017'!I1172</f>
        <v>0</v>
      </c>
      <c r="G1170" s="386">
        <f>'prévision 2017'!H1172</f>
        <v>0</v>
      </c>
      <c r="H1170" s="167">
        <f>'prévision 2017'!G1172</f>
        <v>0</v>
      </c>
    </row>
    <row r="1171" spans="1:8" ht="30" customHeight="1">
      <c r="A1171" s="165" t="s">
        <v>130</v>
      </c>
      <c r="B1171" s="413">
        <v>1404</v>
      </c>
      <c r="C1171" s="156" t="s">
        <v>362</v>
      </c>
      <c r="D1171" s="365">
        <v>6112</v>
      </c>
      <c r="E1171" s="368" t="s">
        <v>236</v>
      </c>
      <c r="F1171" s="386">
        <f>'prévision 2017'!I1173</f>
        <v>0</v>
      </c>
      <c r="G1171" s="386">
        <f>'prévision 2017'!H1173</f>
        <v>0</v>
      </c>
      <c r="H1171" s="167">
        <f>'prévision 2017'!G1173</f>
        <v>0</v>
      </c>
    </row>
    <row r="1172" spans="1:8" ht="30" customHeight="1">
      <c r="A1172" s="165" t="s">
        <v>130</v>
      </c>
      <c r="B1172" s="413">
        <v>1404</v>
      </c>
      <c r="C1172" s="156" t="s">
        <v>362</v>
      </c>
      <c r="D1172" s="365">
        <v>6171</v>
      </c>
      <c r="E1172" s="368" t="s">
        <v>214</v>
      </c>
      <c r="F1172" s="386">
        <f>'prévision 2017'!I1174</f>
        <v>0</v>
      </c>
      <c r="G1172" s="386">
        <f>'prévision 2017'!H1174</f>
        <v>0</v>
      </c>
      <c r="H1172" s="167">
        <f>'prévision 2017'!G1174</f>
        <v>0</v>
      </c>
    </row>
    <row r="1173" spans="1:8" ht="30" customHeight="1">
      <c r="A1173" s="165" t="s">
        <v>130</v>
      </c>
      <c r="B1173" s="413">
        <v>1404</v>
      </c>
      <c r="C1173" s="156" t="s">
        <v>362</v>
      </c>
      <c r="D1173" s="365">
        <v>2165</v>
      </c>
      <c r="E1173" s="368" t="s">
        <v>283</v>
      </c>
      <c r="F1173" s="386">
        <f>'prévision 2017'!I1175</f>
        <v>0</v>
      </c>
      <c r="G1173" s="386">
        <f>'prévision 2017'!H1175</f>
        <v>0</v>
      </c>
      <c r="H1173" s="167">
        <f>'prévision 2017'!G1175</f>
        <v>0</v>
      </c>
    </row>
    <row r="1174" spans="1:8" ht="30" customHeight="1">
      <c r="A1174" s="165" t="s">
        <v>130</v>
      </c>
      <c r="B1174" s="413">
        <v>1404</v>
      </c>
      <c r="C1174" s="160" t="s">
        <v>362</v>
      </c>
      <c r="D1174" s="379" t="s">
        <v>463</v>
      </c>
      <c r="F1174" s="520">
        <f>SUM(F1164:F1173)</f>
        <v>18091800</v>
      </c>
      <c r="G1174" s="520">
        <f>SUM(G1164:G1173)</f>
        <v>14718400.740000004</v>
      </c>
      <c r="H1174" s="491">
        <f>SUM(H1164:H1173)</f>
        <v>18091800</v>
      </c>
    </row>
    <row r="1175" spans="1:13" ht="30" customHeight="1">
      <c r="A1175" s="165" t="s">
        <v>130</v>
      </c>
      <c r="B1175" s="413">
        <v>1405</v>
      </c>
      <c r="C1175" s="435" t="s">
        <v>164</v>
      </c>
      <c r="D1175" s="168"/>
      <c r="F1175" s="386"/>
      <c r="G1175" s="596"/>
      <c r="K1175" s="467"/>
      <c r="L1175" s="467"/>
      <c r="M1175" s="467"/>
    </row>
    <row r="1176" spans="1:13" ht="30" customHeight="1">
      <c r="A1176" s="165" t="s">
        <v>130</v>
      </c>
      <c r="B1176" s="413">
        <v>1405</v>
      </c>
      <c r="C1176" s="156" t="s">
        <v>362</v>
      </c>
      <c r="D1176" s="365">
        <v>6611</v>
      </c>
      <c r="E1176" s="372" t="s">
        <v>6</v>
      </c>
      <c r="F1176" s="386">
        <f>'prévision 2017'!I1178</f>
        <v>0</v>
      </c>
      <c r="G1176" s="386">
        <f>'prévision 2017'!H1178</f>
        <v>0</v>
      </c>
      <c r="H1176" s="167">
        <f>'prévision 2017'!G1178</f>
        <v>0</v>
      </c>
      <c r="K1176" s="467"/>
      <c r="L1176" s="467"/>
      <c r="M1176" s="467"/>
    </row>
    <row r="1177" spans="1:13" ht="30" customHeight="1">
      <c r="A1177" s="165" t="s">
        <v>130</v>
      </c>
      <c r="B1177" s="413">
        <v>1405</v>
      </c>
      <c r="C1177" s="156" t="s">
        <v>362</v>
      </c>
      <c r="D1177" s="365">
        <v>6682</v>
      </c>
      <c r="E1177" s="368" t="s">
        <v>262</v>
      </c>
      <c r="F1177" s="386">
        <f>'prévision 2017'!I1179</f>
        <v>0</v>
      </c>
      <c r="G1177" s="386">
        <f>'prévision 2017'!H1179</f>
        <v>0</v>
      </c>
      <c r="H1177" s="167">
        <f>'prévision 2017'!G1179</f>
        <v>0</v>
      </c>
      <c r="K1177" s="467"/>
      <c r="L1177" s="467"/>
      <c r="M1177" s="467"/>
    </row>
    <row r="1178" spans="1:8" ht="30" customHeight="1">
      <c r="A1178" s="165" t="s">
        <v>130</v>
      </c>
      <c r="B1178" s="413">
        <v>1405</v>
      </c>
      <c r="C1178" s="156" t="s">
        <v>362</v>
      </c>
      <c r="D1178" s="365">
        <v>60100</v>
      </c>
      <c r="E1178" s="368" t="s">
        <v>34</v>
      </c>
      <c r="F1178" s="386">
        <f>'prévision 2017'!I1180</f>
        <v>562600</v>
      </c>
      <c r="G1178" s="386">
        <f>'prévision 2017'!H1180</f>
        <v>140000</v>
      </c>
      <c r="H1178" s="167">
        <f>'prévision 2017'!G1180</f>
        <v>562600</v>
      </c>
    </row>
    <row r="1179" spans="1:8" ht="30" customHeight="1">
      <c r="A1179" s="165" t="s">
        <v>130</v>
      </c>
      <c r="B1179" s="413">
        <v>1405</v>
      </c>
      <c r="C1179" s="156" t="s">
        <v>362</v>
      </c>
      <c r="D1179" s="365">
        <v>60101</v>
      </c>
      <c r="E1179" s="368" t="s">
        <v>265</v>
      </c>
      <c r="F1179" s="386">
        <f>'prévision 2017'!I1181</f>
        <v>470000</v>
      </c>
      <c r="G1179" s="386">
        <f>'prévision 2017'!H1181</f>
        <v>117000</v>
      </c>
      <c r="H1179" s="167">
        <f>'prévision 2017'!G1181</f>
        <v>470000</v>
      </c>
    </row>
    <row r="1180" spans="1:8" ht="30" customHeight="1">
      <c r="A1180" s="165" t="s">
        <v>130</v>
      </c>
      <c r="B1180" s="413">
        <v>1405</v>
      </c>
      <c r="C1180" s="156" t="s">
        <v>362</v>
      </c>
      <c r="D1180" s="365">
        <v>6122</v>
      </c>
      <c r="E1180" s="389" t="s">
        <v>582</v>
      </c>
      <c r="F1180" s="386">
        <f>'prévision 2017'!I1182</f>
        <v>376750</v>
      </c>
      <c r="G1180" s="386">
        <f>'prévision 2017'!H1182</f>
        <v>0</v>
      </c>
      <c r="H1180" s="167">
        <f>'prévision 2017'!G1182</f>
        <v>376750</v>
      </c>
    </row>
    <row r="1181" spans="1:8" ht="30" customHeight="1">
      <c r="A1181" s="165" t="s">
        <v>130</v>
      </c>
      <c r="B1181" s="413">
        <v>1405</v>
      </c>
      <c r="C1181" s="156" t="s">
        <v>362</v>
      </c>
      <c r="D1181" s="365">
        <v>6133</v>
      </c>
      <c r="E1181" s="368" t="s">
        <v>110</v>
      </c>
      <c r="F1181" s="386">
        <f>'prévision 2017'!I1183</f>
        <v>0</v>
      </c>
      <c r="G1181" s="386">
        <f>'prévision 2017'!H1183</f>
        <v>0</v>
      </c>
      <c r="H1181" s="167">
        <f>'prévision 2017'!G1183</f>
        <v>0</v>
      </c>
    </row>
    <row r="1182" spans="1:8" ht="30" customHeight="1">
      <c r="A1182" s="165" t="s">
        <v>130</v>
      </c>
      <c r="B1182" s="413">
        <v>1405</v>
      </c>
      <c r="C1182" s="156" t="s">
        <v>362</v>
      </c>
      <c r="D1182" s="365">
        <v>6111</v>
      </c>
      <c r="E1182" s="368" t="s">
        <v>238</v>
      </c>
      <c r="F1182" s="386">
        <f>'prévision 2017'!I1184</f>
        <v>0</v>
      </c>
      <c r="G1182" s="386">
        <f>'prévision 2017'!H1184</f>
        <v>0</v>
      </c>
      <c r="H1182" s="167">
        <f>'prévision 2017'!G1184</f>
        <v>0</v>
      </c>
    </row>
    <row r="1183" spans="1:8" ht="30" customHeight="1">
      <c r="A1183" s="165" t="s">
        <v>130</v>
      </c>
      <c r="B1183" s="413">
        <v>1405</v>
      </c>
      <c r="C1183" s="156" t="s">
        <v>362</v>
      </c>
      <c r="D1183" s="365">
        <v>6112</v>
      </c>
      <c r="E1183" s="368" t="s">
        <v>236</v>
      </c>
      <c r="F1183" s="386">
        <f>'prévision 2017'!I1185</f>
        <v>0</v>
      </c>
      <c r="G1183" s="386">
        <f>'prévision 2017'!H1185</f>
        <v>0</v>
      </c>
      <c r="H1183" s="167">
        <f>'prévision 2017'!G1185</f>
        <v>0</v>
      </c>
    </row>
    <row r="1184" spans="1:8" ht="30" customHeight="1">
      <c r="A1184" s="165" t="s">
        <v>130</v>
      </c>
      <c r="B1184" s="413">
        <v>1405</v>
      </c>
      <c r="C1184" s="156" t="s">
        <v>362</v>
      </c>
      <c r="D1184" s="365">
        <v>6171</v>
      </c>
      <c r="E1184" s="368" t="s">
        <v>214</v>
      </c>
      <c r="F1184" s="386">
        <f>'prévision 2017'!I1186</f>
        <v>0</v>
      </c>
      <c r="G1184" s="386">
        <f>'prévision 2017'!H1186</f>
        <v>0</v>
      </c>
      <c r="H1184" s="167">
        <f>'prévision 2017'!G1186</f>
        <v>0</v>
      </c>
    </row>
    <row r="1185" spans="1:8" ht="30" customHeight="1">
      <c r="A1185" s="165" t="s">
        <v>130</v>
      </c>
      <c r="B1185" s="413">
        <v>1405</v>
      </c>
      <c r="C1185" s="156" t="s">
        <v>362</v>
      </c>
      <c r="D1185" s="365">
        <v>6311</v>
      </c>
      <c r="E1185" s="366" t="s">
        <v>528</v>
      </c>
      <c r="F1185" s="386">
        <f>'prévision 2017'!I1187</f>
        <v>20000000</v>
      </c>
      <c r="G1185" s="386">
        <f>'prévision 2017'!H1187</f>
        <v>15000000</v>
      </c>
      <c r="H1185" s="167">
        <f>'prévision 2017'!G1187</f>
        <v>20000000</v>
      </c>
    </row>
    <row r="1186" spans="1:8" ht="30" customHeight="1">
      <c r="A1186" s="165" t="s">
        <v>130</v>
      </c>
      <c r="B1186" s="413">
        <v>1405</v>
      </c>
      <c r="C1186" s="156" t="s">
        <v>362</v>
      </c>
      <c r="D1186" s="365">
        <v>2165</v>
      </c>
      <c r="E1186" s="368" t="s">
        <v>283</v>
      </c>
      <c r="F1186" s="386">
        <f>'prévision 2017'!I1188</f>
        <v>0</v>
      </c>
      <c r="G1186" s="386">
        <f>'prévision 2017'!H1188</f>
        <v>0</v>
      </c>
      <c r="H1186" s="167">
        <f>'prévision 2017'!G1188</f>
        <v>0</v>
      </c>
    </row>
    <row r="1187" spans="1:8" ht="30" customHeight="1">
      <c r="A1187" s="165" t="s">
        <v>130</v>
      </c>
      <c r="B1187" s="413">
        <v>1405</v>
      </c>
      <c r="C1187" s="160" t="s">
        <v>362</v>
      </c>
      <c r="D1187" s="379" t="s">
        <v>463</v>
      </c>
      <c r="F1187" s="520">
        <f>SUM(F1176:F1186)</f>
        <v>21409350</v>
      </c>
      <c r="G1187" s="520">
        <f>SUM(G1176:G1186)</f>
        <v>15257000</v>
      </c>
      <c r="H1187" s="491">
        <f>SUM(H1176:H1186)</f>
        <v>21409350</v>
      </c>
    </row>
    <row r="1188" spans="1:7" ht="30" customHeight="1">
      <c r="A1188" s="165" t="s">
        <v>130</v>
      </c>
      <c r="B1188" s="413">
        <v>1406</v>
      </c>
      <c r="C1188" s="391" t="s">
        <v>225</v>
      </c>
      <c r="D1188" s="168"/>
      <c r="F1188" s="386"/>
      <c r="G1188" s="596"/>
    </row>
    <row r="1189" spans="1:8" ht="30" customHeight="1">
      <c r="A1189" s="165" t="s">
        <v>130</v>
      </c>
      <c r="B1189" s="413">
        <v>1406</v>
      </c>
      <c r="C1189" s="156" t="s">
        <v>503</v>
      </c>
      <c r="D1189" s="365">
        <v>6611</v>
      </c>
      <c r="E1189" s="372" t="s">
        <v>6</v>
      </c>
      <c r="F1189" s="386">
        <f>'prévision 2017'!I1191</f>
        <v>10568000</v>
      </c>
      <c r="G1189" s="386">
        <f>'prévision 2017'!H1191</f>
        <v>7538534.34</v>
      </c>
      <c r="H1189" s="167">
        <f>'prévision 2017'!G1191</f>
        <v>10568000</v>
      </c>
    </row>
    <row r="1190" spans="1:8" ht="30" customHeight="1">
      <c r="A1190" s="165" t="s">
        <v>130</v>
      </c>
      <c r="B1190" s="413">
        <v>1406</v>
      </c>
      <c r="C1190" s="156" t="s">
        <v>503</v>
      </c>
      <c r="D1190" s="365">
        <v>6682</v>
      </c>
      <c r="E1190" s="368" t="s">
        <v>262</v>
      </c>
      <c r="F1190" s="386">
        <f>'prévision 2017'!I1192</f>
        <v>0</v>
      </c>
      <c r="G1190" s="386">
        <f>'prévision 2017'!H1192</f>
        <v>0</v>
      </c>
      <c r="H1190" s="167">
        <f>'prévision 2017'!G1192</f>
        <v>0</v>
      </c>
    </row>
    <row r="1191" spans="1:8" ht="30" customHeight="1">
      <c r="A1191" s="165" t="s">
        <v>130</v>
      </c>
      <c r="B1191" s="413">
        <v>1406</v>
      </c>
      <c r="C1191" s="156" t="s">
        <v>503</v>
      </c>
      <c r="D1191" s="365">
        <v>60100</v>
      </c>
      <c r="E1191" s="368" t="s">
        <v>34</v>
      </c>
      <c r="F1191" s="386">
        <f>'prévision 2017'!I1193</f>
        <v>564000</v>
      </c>
      <c r="G1191" s="386">
        <f>'prévision 2017'!H1193</f>
        <v>0</v>
      </c>
      <c r="H1191" s="167">
        <f>'prévision 2017'!G1193</f>
        <v>564000</v>
      </c>
    </row>
    <row r="1192" spans="1:8" ht="30" customHeight="1">
      <c r="A1192" s="165" t="s">
        <v>130</v>
      </c>
      <c r="B1192" s="413">
        <v>1406</v>
      </c>
      <c r="C1192" s="156" t="s">
        <v>503</v>
      </c>
      <c r="D1192" s="365">
        <v>60101</v>
      </c>
      <c r="E1192" s="368" t="s">
        <v>265</v>
      </c>
      <c r="F1192" s="386">
        <f>'prévision 2017'!I1194</f>
        <v>470000</v>
      </c>
      <c r="G1192" s="386">
        <f>'prévision 2017'!H1194</f>
        <v>0</v>
      </c>
      <c r="H1192" s="167">
        <f>'prévision 2017'!G1194</f>
        <v>470000</v>
      </c>
    </row>
    <row r="1193" spans="1:8" ht="30" customHeight="1">
      <c r="A1193" s="165" t="s">
        <v>130</v>
      </c>
      <c r="B1193" s="413">
        <v>1406</v>
      </c>
      <c r="C1193" s="156" t="s">
        <v>503</v>
      </c>
      <c r="D1193" s="365">
        <v>6122</v>
      </c>
      <c r="E1193" s="389" t="s">
        <v>582</v>
      </c>
      <c r="F1193" s="386">
        <f>'prévision 2017'!I1195</f>
        <v>376000</v>
      </c>
      <c r="G1193" s="386">
        <f>'prévision 2017'!H1195</f>
        <v>0</v>
      </c>
      <c r="H1193" s="167">
        <f>'prévision 2017'!G1195</f>
        <v>376000</v>
      </c>
    </row>
    <row r="1194" spans="1:8" ht="30" customHeight="1">
      <c r="A1194" s="165" t="s">
        <v>130</v>
      </c>
      <c r="B1194" s="413">
        <v>1406</v>
      </c>
      <c r="C1194" s="156" t="s">
        <v>503</v>
      </c>
      <c r="D1194" s="365">
        <v>6133</v>
      </c>
      <c r="E1194" s="368" t="s">
        <v>110</v>
      </c>
      <c r="F1194" s="386">
        <f>'prévision 2017'!I1196</f>
        <v>0</v>
      </c>
      <c r="G1194" s="386">
        <f>'prévision 2017'!H1196</f>
        <v>0</v>
      </c>
      <c r="H1194" s="167">
        <f>'prévision 2017'!G1196</f>
        <v>0</v>
      </c>
    </row>
    <row r="1195" spans="1:8" ht="30" customHeight="1">
      <c r="A1195" s="165" t="s">
        <v>130</v>
      </c>
      <c r="B1195" s="413">
        <v>1406</v>
      </c>
      <c r="C1195" s="156" t="s">
        <v>503</v>
      </c>
      <c r="D1195" s="365">
        <v>6111</v>
      </c>
      <c r="E1195" s="368" t="s">
        <v>238</v>
      </c>
      <c r="F1195" s="386">
        <f>'prévision 2017'!I1197</f>
        <v>0</v>
      </c>
      <c r="G1195" s="386">
        <f>'prévision 2017'!H1197</f>
        <v>0</v>
      </c>
      <c r="H1195" s="167">
        <f>'prévision 2017'!G1197</f>
        <v>0</v>
      </c>
    </row>
    <row r="1196" spans="1:8" ht="30" customHeight="1">
      <c r="A1196" s="165" t="s">
        <v>130</v>
      </c>
      <c r="B1196" s="413">
        <v>1406</v>
      </c>
      <c r="C1196" s="156" t="s">
        <v>503</v>
      </c>
      <c r="D1196" s="365">
        <v>6112</v>
      </c>
      <c r="E1196" s="368" t="s">
        <v>236</v>
      </c>
      <c r="F1196" s="386">
        <f>'prévision 2017'!I1198</f>
        <v>0</v>
      </c>
      <c r="G1196" s="386">
        <f>'prévision 2017'!H1198</f>
        <v>0</v>
      </c>
      <c r="H1196" s="167">
        <f>'prévision 2017'!G1198</f>
        <v>0</v>
      </c>
    </row>
    <row r="1197" spans="1:8" ht="30" customHeight="1">
      <c r="A1197" s="165" t="s">
        <v>130</v>
      </c>
      <c r="B1197" s="413">
        <v>1406</v>
      </c>
      <c r="C1197" s="160" t="s">
        <v>503</v>
      </c>
      <c r="D1197" s="379" t="s">
        <v>463</v>
      </c>
      <c r="F1197" s="520">
        <f>SUM(F1189:F1196)</f>
        <v>11978000</v>
      </c>
      <c r="G1197" s="520">
        <f>SUM(G1189:G1196)</f>
        <v>7538534.34</v>
      </c>
      <c r="H1197" s="491">
        <f>SUM(H1189:H1196)</f>
        <v>11978000</v>
      </c>
    </row>
    <row r="1198" spans="1:7" ht="30" customHeight="1">
      <c r="A1198" s="165" t="s">
        <v>130</v>
      </c>
      <c r="B1198" s="413">
        <v>1407</v>
      </c>
      <c r="C1198" s="433" t="s">
        <v>239</v>
      </c>
      <c r="D1198" s="169"/>
      <c r="F1198" s="386"/>
      <c r="G1198" s="596"/>
    </row>
    <row r="1199" spans="1:8" ht="30" customHeight="1">
      <c r="A1199" s="165" t="s">
        <v>130</v>
      </c>
      <c r="B1199" s="413">
        <v>1407</v>
      </c>
      <c r="C1199" s="156" t="s">
        <v>362</v>
      </c>
      <c r="D1199" s="365">
        <v>6611</v>
      </c>
      <c r="E1199" s="372" t="s">
        <v>6</v>
      </c>
      <c r="F1199" s="386">
        <f>'prévision 2017'!I1201</f>
        <v>0</v>
      </c>
      <c r="G1199" s="386">
        <f>'prévision 2017'!H1201</f>
        <v>0</v>
      </c>
      <c r="H1199" s="167">
        <f>'prévision 2017'!G1201</f>
        <v>0</v>
      </c>
    </row>
    <row r="1200" spans="1:8" ht="30" customHeight="1">
      <c r="A1200" s="165" t="s">
        <v>130</v>
      </c>
      <c r="B1200" s="413">
        <v>1407</v>
      </c>
      <c r="C1200" s="156" t="s">
        <v>362</v>
      </c>
      <c r="D1200" s="365">
        <v>6682</v>
      </c>
      <c r="E1200" s="372" t="s">
        <v>262</v>
      </c>
      <c r="F1200" s="386">
        <f>'prévision 2017'!I1202</f>
        <v>0</v>
      </c>
      <c r="G1200" s="386">
        <f>'prévision 2017'!H1202</f>
        <v>0</v>
      </c>
      <c r="H1200" s="167">
        <f>'prévision 2017'!G1202</f>
        <v>0</v>
      </c>
    </row>
    <row r="1201" spans="1:8" ht="30" customHeight="1">
      <c r="A1201" s="165" t="s">
        <v>130</v>
      </c>
      <c r="B1201" s="521">
        <v>1407</v>
      </c>
      <c r="C1201" s="156" t="s">
        <v>362</v>
      </c>
      <c r="D1201" s="365">
        <v>60100</v>
      </c>
      <c r="E1201" s="372" t="s">
        <v>47</v>
      </c>
      <c r="F1201" s="386">
        <f>'prévision 2017'!I1203</f>
        <v>0</v>
      </c>
      <c r="G1201" s="386">
        <f>'prévision 2017'!H1203</f>
        <v>0</v>
      </c>
      <c r="H1201" s="167">
        <f>'prévision 2017'!G1203</f>
        <v>0</v>
      </c>
    </row>
    <row r="1202" spans="1:8" ht="30" customHeight="1">
      <c r="A1202" s="165" t="s">
        <v>130</v>
      </c>
      <c r="B1202" s="521">
        <v>1407</v>
      </c>
      <c r="C1202" s="156" t="s">
        <v>362</v>
      </c>
      <c r="D1202" s="365">
        <v>6041</v>
      </c>
      <c r="E1202" s="372" t="s">
        <v>170</v>
      </c>
      <c r="F1202" s="386">
        <f>'prévision 2017'!I1204</f>
        <v>0</v>
      </c>
      <c r="G1202" s="386">
        <f>'prévision 2017'!H1204</f>
        <v>0</v>
      </c>
      <c r="H1202" s="167">
        <f>'prévision 2017'!G1204</f>
        <v>0</v>
      </c>
    </row>
    <row r="1203" spans="1:8" ht="30" customHeight="1">
      <c r="A1203" s="165" t="s">
        <v>130</v>
      </c>
      <c r="B1203" s="521">
        <v>1407</v>
      </c>
      <c r="C1203" s="156" t="s">
        <v>362</v>
      </c>
      <c r="D1203" s="365">
        <v>6122</v>
      </c>
      <c r="E1203" s="389" t="s">
        <v>582</v>
      </c>
      <c r="F1203" s="386">
        <f>'prévision 2017'!I1205</f>
        <v>0</v>
      </c>
      <c r="G1203" s="386">
        <f>'prévision 2017'!H1205</f>
        <v>0</v>
      </c>
      <c r="H1203" s="167">
        <f>'prévision 2017'!G1205</f>
        <v>0</v>
      </c>
    </row>
    <row r="1204" spans="1:8" ht="30" customHeight="1">
      <c r="A1204" s="165" t="s">
        <v>130</v>
      </c>
      <c r="B1204" s="521">
        <v>1407</v>
      </c>
      <c r="C1204" s="156" t="s">
        <v>362</v>
      </c>
      <c r="D1204" s="365">
        <v>6133</v>
      </c>
      <c r="E1204" s="372" t="s">
        <v>110</v>
      </c>
      <c r="F1204" s="386">
        <f>'prévision 2017'!I1206</f>
        <v>0</v>
      </c>
      <c r="G1204" s="386">
        <f>'prévision 2017'!H1206</f>
        <v>0</v>
      </c>
      <c r="H1204" s="167">
        <f>'prévision 2017'!G1206</f>
        <v>0</v>
      </c>
    </row>
    <row r="1205" spans="1:8" ht="30" customHeight="1">
      <c r="A1205" s="165" t="s">
        <v>130</v>
      </c>
      <c r="B1205" s="521">
        <v>1407</v>
      </c>
      <c r="C1205" s="156" t="s">
        <v>362</v>
      </c>
      <c r="D1205" s="365">
        <v>6152</v>
      </c>
      <c r="E1205" s="372" t="s">
        <v>263</v>
      </c>
      <c r="F1205" s="386">
        <f>'prévision 2017'!I1207</f>
        <v>0</v>
      </c>
      <c r="G1205" s="386">
        <f>'prévision 2017'!H1207</f>
        <v>0</v>
      </c>
      <c r="H1205" s="167">
        <f>'prévision 2017'!G1207</f>
        <v>0</v>
      </c>
    </row>
    <row r="1206" spans="1:8" ht="30" customHeight="1">
      <c r="A1206" s="165" t="s">
        <v>130</v>
      </c>
      <c r="B1206" s="521">
        <v>1407</v>
      </c>
      <c r="C1206" s="156" t="s">
        <v>362</v>
      </c>
      <c r="D1206" s="365">
        <v>6112</v>
      </c>
      <c r="E1206" s="372" t="s">
        <v>236</v>
      </c>
      <c r="F1206" s="386">
        <f>'prévision 2017'!I1208</f>
        <v>0</v>
      </c>
      <c r="G1206" s="386">
        <f>'prévision 2017'!H1208</f>
        <v>0</v>
      </c>
      <c r="H1206" s="167">
        <f>'prévision 2017'!G1208</f>
        <v>0</v>
      </c>
    </row>
    <row r="1207" spans="1:8" ht="30" customHeight="1">
      <c r="A1207" s="165" t="s">
        <v>130</v>
      </c>
      <c r="B1207" s="521">
        <v>1407</v>
      </c>
      <c r="C1207" s="156" t="s">
        <v>362</v>
      </c>
      <c r="D1207" s="365">
        <v>6175</v>
      </c>
      <c r="E1207" s="372" t="s">
        <v>13</v>
      </c>
      <c r="F1207" s="386">
        <f>'prévision 2017'!I1209</f>
        <v>0</v>
      </c>
      <c r="G1207" s="386">
        <f>'prévision 2017'!H1209</f>
        <v>0</v>
      </c>
      <c r="H1207" s="167">
        <f>'prévision 2017'!G1209</f>
        <v>0</v>
      </c>
    </row>
    <row r="1208" spans="1:8" ht="30" customHeight="1">
      <c r="A1208" s="165" t="s">
        <v>130</v>
      </c>
      <c r="B1208" s="521">
        <v>1407</v>
      </c>
      <c r="C1208" s="156" t="s">
        <v>362</v>
      </c>
      <c r="D1208" s="365">
        <v>6173</v>
      </c>
      <c r="E1208" s="368" t="s">
        <v>19</v>
      </c>
      <c r="F1208" s="386">
        <f>'prévision 2017'!I1210</f>
        <v>16754325</v>
      </c>
      <c r="G1208" s="386">
        <f>'prévision 2017'!H1210</f>
        <v>4188581</v>
      </c>
      <c r="H1208" s="167">
        <f>'prévision 2017'!G1210</f>
        <v>16754325</v>
      </c>
    </row>
    <row r="1209" spans="1:8" ht="30" customHeight="1">
      <c r="A1209" s="165" t="s">
        <v>130</v>
      </c>
      <c r="B1209" s="521">
        <v>1407</v>
      </c>
      <c r="C1209" s="156" t="s">
        <v>362</v>
      </c>
      <c r="D1209" s="595">
        <v>6311</v>
      </c>
      <c r="E1209" s="563" t="s">
        <v>271</v>
      </c>
      <c r="F1209" s="386">
        <f>'prévision 2017'!G1211</f>
        <v>0</v>
      </c>
      <c r="G1209" s="386">
        <f>'prévision 2017'!H1211</f>
        <v>6000000</v>
      </c>
      <c r="H1209" s="167">
        <f>+'prévision 2017'!I1211</f>
        <v>0</v>
      </c>
    </row>
    <row r="1210" spans="1:8" ht="30" customHeight="1">
      <c r="A1210" s="165" t="s">
        <v>130</v>
      </c>
      <c r="B1210" s="521">
        <v>1407</v>
      </c>
      <c r="C1210" s="160" t="s">
        <v>362</v>
      </c>
      <c r="D1210" s="379" t="s">
        <v>463</v>
      </c>
      <c r="F1210" s="520">
        <f>SUM(F1199:F1209)</f>
        <v>16754325</v>
      </c>
      <c r="G1210" s="520">
        <f>SUM(G1199:G1209)</f>
        <v>10188581</v>
      </c>
      <c r="H1210" s="491">
        <f>SUM(H1199:H1208)</f>
        <v>16754325</v>
      </c>
    </row>
    <row r="1211" spans="1:8" ht="30" customHeight="1">
      <c r="A1211" s="165" t="s">
        <v>130</v>
      </c>
      <c r="B1211" s="521">
        <v>1207</v>
      </c>
      <c r="C1211" s="433" t="s">
        <v>137</v>
      </c>
      <c r="D1211" s="498"/>
      <c r="F1211" s="386"/>
      <c r="G1211" s="559"/>
      <c r="H1211" s="167"/>
    </row>
    <row r="1212" spans="1:8" ht="30" customHeight="1">
      <c r="A1212" s="165" t="s">
        <v>130</v>
      </c>
      <c r="B1212" s="463">
        <v>1207</v>
      </c>
      <c r="C1212" s="384" t="s">
        <v>501</v>
      </c>
      <c r="D1212" s="365">
        <v>6611</v>
      </c>
      <c r="E1212" s="368" t="s">
        <v>6</v>
      </c>
      <c r="F1212" s="386">
        <f>'prévision 2017'!I1214</f>
        <v>24183200</v>
      </c>
      <c r="G1212" s="386">
        <f>'prévision 2017'!H1214</f>
        <v>23078199.649999995</v>
      </c>
      <c r="H1212" s="167">
        <f>'prévision 2017'!G1214</f>
        <v>24183200</v>
      </c>
    </row>
    <row r="1213" spans="1:8" ht="30" customHeight="1">
      <c r="A1213" s="165" t="s">
        <v>130</v>
      </c>
      <c r="B1213" s="463">
        <v>1207</v>
      </c>
      <c r="C1213" s="384" t="s">
        <v>501</v>
      </c>
      <c r="D1213" s="365">
        <v>6311</v>
      </c>
      <c r="E1213" s="368" t="s">
        <v>271</v>
      </c>
      <c r="F1213" s="386">
        <f>'prévision 2017'!I1215</f>
        <v>6000000</v>
      </c>
      <c r="G1213" s="386">
        <f>'prévision 2017'!H1215</f>
        <v>0</v>
      </c>
      <c r="H1213" s="167">
        <f>'prévision 2017'!G1215</f>
        <v>6000000</v>
      </c>
    </row>
    <row r="1214" spans="1:8" ht="30" customHeight="1">
      <c r="A1214" s="165" t="s">
        <v>130</v>
      </c>
      <c r="B1214" s="463">
        <v>1207</v>
      </c>
      <c r="C1214" s="384" t="s">
        <v>501</v>
      </c>
      <c r="D1214" s="365">
        <v>6452</v>
      </c>
      <c r="E1214" s="368" t="s">
        <v>182</v>
      </c>
      <c r="F1214" s="386">
        <f>'prévision 2017'!I1216</f>
        <v>0</v>
      </c>
      <c r="G1214" s="386">
        <f>'prévision 2017'!H1216</f>
        <v>0</v>
      </c>
      <c r="H1214" s="167">
        <f>'prévision 2017'!G1216</f>
        <v>0</v>
      </c>
    </row>
    <row r="1215" spans="1:8" ht="30" customHeight="1">
      <c r="A1215" s="165" t="s">
        <v>130</v>
      </c>
      <c r="B1215" s="463">
        <v>1207</v>
      </c>
      <c r="C1215" s="384" t="s">
        <v>501</v>
      </c>
      <c r="D1215" s="365">
        <v>2115</v>
      </c>
      <c r="E1215" s="366" t="s">
        <v>570</v>
      </c>
      <c r="F1215" s="386">
        <f>'prévision 2017'!I1217</f>
        <v>0</v>
      </c>
      <c r="G1215" s="386">
        <f>'prévision 2017'!H1217</f>
        <v>0</v>
      </c>
      <c r="H1215" s="167">
        <f>'prévision 2017'!G1217</f>
        <v>3000000000</v>
      </c>
    </row>
    <row r="1216" spans="1:8" ht="30" customHeight="1">
      <c r="A1216" s="165" t="s">
        <v>130</v>
      </c>
      <c r="B1216" s="463">
        <v>1207</v>
      </c>
      <c r="C1216" s="384" t="s">
        <v>501</v>
      </c>
      <c r="D1216" s="379" t="s">
        <v>463</v>
      </c>
      <c r="E1216" s="498"/>
      <c r="F1216" s="520">
        <f>SUM(F1212:F1215)</f>
        <v>30183200</v>
      </c>
      <c r="G1216" s="520">
        <f>SUM(G1212:G1215)</f>
        <v>23078199.649999995</v>
      </c>
      <c r="H1216" s="491">
        <f>SUM(H1212:H1215)</f>
        <v>3030183200</v>
      </c>
    </row>
    <row r="1217" spans="1:8" ht="30" customHeight="1">
      <c r="A1217" s="165" t="s">
        <v>130</v>
      </c>
      <c r="B1217" s="463">
        <v>1208</v>
      </c>
      <c r="C1217" s="384" t="s">
        <v>138</v>
      </c>
      <c r="D1217" s="467"/>
      <c r="F1217" s="386"/>
      <c r="G1217" s="559"/>
      <c r="H1217" s="167"/>
    </row>
    <row r="1218" spans="1:8" ht="30" customHeight="1">
      <c r="A1218" s="165" t="s">
        <v>130</v>
      </c>
      <c r="B1218" s="463">
        <v>1208</v>
      </c>
      <c r="C1218" s="384" t="s">
        <v>429</v>
      </c>
      <c r="D1218" s="365">
        <v>6611</v>
      </c>
      <c r="E1218" s="368" t="s">
        <v>6</v>
      </c>
      <c r="F1218" s="386">
        <f>'prévision 2017'!I1220</f>
        <v>0</v>
      </c>
      <c r="G1218" s="386">
        <f>'prévision 2017'!H1220</f>
        <v>0</v>
      </c>
      <c r="H1218" s="167">
        <f>'prévision 2017'!G1220</f>
        <v>0</v>
      </c>
    </row>
    <row r="1219" spans="1:8" ht="30" customHeight="1">
      <c r="A1219" s="165" t="s">
        <v>130</v>
      </c>
      <c r="B1219" s="463">
        <v>1208</v>
      </c>
      <c r="C1219" s="384" t="s">
        <v>429</v>
      </c>
      <c r="D1219" s="365">
        <v>6311</v>
      </c>
      <c r="E1219" s="368" t="s">
        <v>271</v>
      </c>
      <c r="F1219" s="386">
        <f>'prévision 2017'!I1221</f>
        <v>12600000</v>
      </c>
      <c r="G1219" s="386">
        <f>'prévision 2017'!H1221</f>
        <v>6300000</v>
      </c>
      <c r="H1219" s="167">
        <f>'prévision 2017'!G1221</f>
        <v>12600000</v>
      </c>
    </row>
    <row r="1220" spans="1:8" ht="30" customHeight="1">
      <c r="A1220" s="165" t="s">
        <v>130</v>
      </c>
      <c r="B1220" s="463">
        <v>1208</v>
      </c>
      <c r="C1220" s="384" t="s">
        <v>429</v>
      </c>
      <c r="D1220" s="379" t="s">
        <v>463</v>
      </c>
      <c r="E1220" s="499"/>
      <c r="F1220" s="520">
        <f>SUM(F1218:F1219)</f>
        <v>12600000</v>
      </c>
      <c r="G1220" s="520">
        <f>SUM(G1218:G1219)</f>
        <v>6300000</v>
      </c>
      <c r="H1220" s="491">
        <f>SUM(H1218:H1219)</f>
        <v>12600000</v>
      </c>
    </row>
    <row r="1221" spans="1:8" ht="30" customHeight="1">
      <c r="A1221" s="165" t="s">
        <v>130</v>
      </c>
      <c r="B1221" s="463">
        <v>1219</v>
      </c>
      <c r="C1221" s="384" t="s">
        <v>148</v>
      </c>
      <c r="D1221" s="467"/>
      <c r="E1221" s="499"/>
      <c r="F1221" s="386"/>
      <c r="G1221" s="559"/>
      <c r="H1221" s="167"/>
    </row>
    <row r="1222" spans="1:8" ht="30" customHeight="1">
      <c r="A1222" s="165" t="s">
        <v>130</v>
      </c>
      <c r="B1222" s="467">
        <v>1219</v>
      </c>
      <c r="C1222" s="384" t="s">
        <v>438</v>
      </c>
      <c r="D1222" s="365">
        <v>6611</v>
      </c>
      <c r="E1222" s="368" t="s">
        <v>6</v>
      </c>
      <c r="F1222" s="386">
        <f>'prévision 2017'!I1224</f>
        <v>10516800</v>
      </c>
      <c r="G1222" s="386">
        <f>'prévision 2017'!H1224</f>
        <v>9400466.940000001</v>
      </c>
      <c r="H1222" s="167">
        <f>'prévision 2017'!G1224</f>
        <v>10516800</v>
      </c>
    </row>
    <row r="1223" spans="1:8" ht="30" customHeight="1">
      <c r="A1223" s="165" t="s">
        <v>130</v>
      </c>
      <c r="B1223" s="467">
        <v>1219</v>
      </c>
      <c r="C1223" s="160" t="s">
        <v>438</v>
      </c>
      <c r="D1223" s="365">
        <v>60100</v>
      </c>
      <c r="E1223" s="368" t="s">
        <v>7</v>
      </c>
      <c r="F1223" s="386">
        <f>'prévision 2017'!I1225</f>
        <v>844800</v>
      </c>
      <c r="G1223" s="386">
        <f>'prévision 2017'!H1225</f>
        <v>0</v>
      </c>
      <c r="H1223" s="167">
        <f>'prévision 2017'!G1225</f>
        <v>844800</v>
      </c>
    </row>
    <row r="1224" spans="1:8" ht="30" customHeight="1">
      <c r="A1224" s="165" t="s">
        <v>130</v>
      </c>
      <c r="B1224" s="467">
        <v>1219</v>
      </c>
      <c r="C1224" s="160" t="s">
        <v>438</v>
      </c>
      <c r="D1224" s="365">
        <v>60101</v>
      </c>
      <c r="E1224" s="368" t="s">
        <v>297</v>
      </c>
      <c r="F1224" s="386">
        <f>'prévision 2017'!I1226</f>
        <v>0</v>
      </c>
      <c r="G1224" s="386">
        <f>'prévision 2017'!H1226</f>
        <v>0</v>
      </c>
      <c r="H1224" s="167">
        <f>'prévision 2017'!G1226</f>
        <v>0</v>
      </c>
    </row>
    <row r="1225" spans="1:8" ht="30" customHeight="1">
      <c r="A1225" s="165" t="s">
        <v>130</v>
      </c>
      <c r="B1225" s="467">
        <v>1219</v>
      </c>
      <c r="C1225" s="160" t="s">
        <v>438</v>
      </c>
      <c r="D1225" s="365">
        <v>6122</v>
      </c>
      <c r="E1225" s="389" t="s">
        <v>582</v>
      </c>
      <c r="F1225" s="386">
        <f>'prévision 2017'!I1227</f>
        <v>540000</v>
      </c>
      <c r="G1225" s="386">
        <f>'prévision 2017'!H1227</f>
        <v>0</v>
      </c>
      <c r="H1225" s="167">
        <f>'prévision 2017'!G1227</f>
        <v>540000</v>
      </c>
    </row>
    <row r="1226" spans="1:8" ht="30" customHeight="1">
      <c r="A1226" s="165" t="s">
        <v>130</v>
      </c>
      <c r="B1226" s="467">
        <v>1219</v>
      </c>
      <c r="C1226" s="160" t="s">
        <v>438</v>
      </c>
      <c r="D1226" s="365">
        <v>2121</v>
      </c>
      <c r="E1226" s="368" t="s">
        <v>590</v>
      </c>
      <c r="F1226" s="386">
        <f>'prévision 2017'!I1228</f>
        <v>0</v>
      </c>
      <c r="G1226" s="386">
        <f>'prévision 2017'!H1228</f>
        <v>0</v>
      </c>
      <c r="H1226" s="167">
        <f>'prévision 2017'!G1228</f>
        <v>0</v>
      </c>
    </row>
    <row r="1227" spans="1:8" ht="30" customHeight="1">
      <c r="A1227" s="165" t="s">
        <v>130</v>
      </c>
      <c r="B1227" s="467">
        <v>1219</v>
      </c>
      <c r="C1227" s="160" t="s">
        <v>438</v>
      </c>
      <c r="D1227" s="379" t="s">
        <v>463</v>
      </c>
      <c r="E1227" s="499"/>
      <c r="F1227" s="520">
        <f>SUM(F1222:F1226)</f>
        <v>11901600</v>
      </c>
      <c r="G1227" s="520">
        <f>SUM(G1222:G1226)</f>
        <v>9400466.940000001</v>
      </c>
      <c r="H1227" s="491">
        <f>SUM(H1222:H1226)</f>
        <v>11901600</v>
      </c>
    </row>
    <row r="1228" spans="1:8" ht="30" customHeight="1">
      <c r="A1228" s="473">
        <v>14</v>
      </c>
      <c r="B1228" s="379" t="s">
        <v>72</v>
      </c>
      <c r="F1228" s="520">
        <f>F1210+F1197+F1187+F1174+F1162+F1148+F1141+F1216+F1220+F1227</f>
        <v>170215875</v>
      </c>
      <c r="G1228" s="520">
        <f>G1210+G1197+G1187+G1174+G1162+G1148+G1141+G1216+G1220+G1227</f>
        <v>136518648.15</v>
      </c>
      <c r="H1228" s="491">
        <f>H1210+H1197+H1187+H1174+H1162+H1148+H1141+H1216+H1220+H1227</f>
        <v>3170215875</v>
      </c>
    </row>
    <row r="1229" spans="1:7" ht="30" customHeight="1">
      <c r="A1229" s="387" t="s">
        <v>167</v>
      </c>
      <c r="B1229" s="474" t="s">
        <v>168</v>
      </c>
      <c r="C1229" s="443"/>
      <c r="D1229" s="443"/>
      <c r="E1229" s="492"/>
      <c r="F1229" s="386"/>
      <c r="G1229" s="596"/>
    </row>
    <row r="1230" spans="1:7" ht="30" customHeight="1">
      <c r="A1230" s="387" t="s">
        <v>167</v>
      </c>
      <c r="B1230" s="445">
        <v>9998</v>
      </c>
      <c r="C1230" s="435" t="s">
        <v>169</v>
      </c>
      <c r="D1230" s="434"/>
      <c r="F1230" s="386"/>
      <c r="G1230" s="596"/>
    </row>
    <row r="1231" spans="1:8" ht="30" customHeight="1">
      <c r="A1231" s="387" t="s">
        <v>167</v>
      </c>
      <c r="B1231" s="445">
        <v>9998</v>
      </c>
      <c r="C1231" s="156" t="s">
        <v>465</v>
      </c>
      <c r="D1231" s="365">
        <v>6611</v>
      </c>
      <c r="E1231" s="390" t="s">
        <v>6</v>
      </c>
      <c r="F1231" s="386">
        <f>'prévision 2017'!I1242</f>
        <v>15302954</v>
      </c>
      <c r="G1231" s="386">
        <f>'prévision 2017'!H1242</f>
        <v>150799757</v>
      </c>
      <c r="H1231" s="167">
        <f>'prévision 2017'!G1242</f>
        <v>15302954</v>
      </c>
    </row>
    <row r="1232" spans="1:8" ht="30" customHeight="1">
      <c r="A1232" s="387" t="s">
        <v>167</v>
      </c>
      <c r="B1232" s="445">
        <v>9998</v>
      </c>
      <c r="C1232" s="156" t="s">
        <v>465</v>
      </c>
      <c r="D1232" s="365">
        <v>6643</v>
      </c>
      <c r="E1232" s="390" t="s">
        <v>683</v>
      </c>
      <c r="F1232" s="559">
        <f>'prévision 2017'!I1243</f>
        <v>0</v>
      </c>
      <c r="G1232" s="386">
        <f>'prévision 2017'!H1243</f>
        <v>0</v>
      </c>
      <c r="H1232" s="167"/>
    </row>
    <row r="1233" spans="1:8" ht="30" customHeight="1">
      <c r="A1233" s="165" t="s">
        <v>167</v>
      </c>
      <c r="B1233" s="445">
        <v>9998</v>
      </c>
      <c r="C1233" s="156" t="s">
        <v>503</v>
      </c>
      <c r="D1233" s="365">
        <v>6682</v>
      </c>
      <c r="E1233" s="390" t="s">
        <v>262</v>
      </c>
      <c r="F1233" s="167">
        <f>'prévision 2017'!I1244</f>
        <v>165604618</v>
      </c>
      <c r="G1233" s="386">
        <f>'prévision 2017'!H1244</f>
        <v>10092146</v>
      </c>
      <c r="H1233" s="167">
        <f>'prévision 2017'!G1244</f>
        <v>171567020</v>
      </c>
    </row>
    <row r="1234" spans="1:8" ht="30" customHeight="1">
      <c r="A1234" s="165" t="s">
        <v>167</v>
      </c>
      <c r="B1234" s="445">
        <v>9998</v>
      </c>
      <c r="C1234" s="156" t="s">
        <v>509</v>
      </c>
      <c r="D1234" s="365">
        <v>6683</v>
      </c>
      <c r="E1234" s="390" t="s">
        <v>326</v>
      </c>
      <c r="F1234" s="167">
        <f>'prévision 2017'!I1245</f>
        <v>108099024</v>
      </c>
      <c r="G1234" s="386">
        <f>'prévision 2017'!H1245</f>
        <v>26589350</v>
      </c>
      <c r="H1234" s="167">
        <f>'prévision 2017'!G1245</f>
        <v>108099024</v>
      </c>
    </row>
    <row r="1235" spans="1:8" ht="30" customHeight="1">
      <c r="A1235" s="165" t="s">
        <v>167</v>
      </c>
      <c r="B1235" s="435">
        <v>9998</v>
      </c>
      <c r="C1235" s="384" t="s">
        <v>509</v>
      </c>
      <c r="D1235" s="365">
        <v>6041</v>
      </c>
      <c r="E1235" s="390" t="s">
        <v>170</v>
      </c>
      <c r="F1235" s="167">
        <f>'prévision 2017'!I1246</f>
        <v>500000000</v>
      </c>
      <c r="G1235" s="386">
        <f>'prévision 2017'!H1246</f>
        <v>418505550</v>
      </c>
      <c r="H1235" s="167">
        <f>'prévision 2017'!G1246</f>
        <v>500000000</v>
      </c>
    </row>
    <row r="1236" spans="1:8" ht="30" customHeight="1">
      <c r="A1236" s="165" t="s">
        <v>167</v>
      </c>
      <c r="B1236" s="435">
        <v>9998</v>
      </c>
      <c r="C1236" s="384" t="s">
        <v>509</v>
      </c>
      <c r="D1236" s="365">
        <v>6135</v>
      </c>
      <c r="E1236" s="390" t="s">
        <v>171</v>
      </c>
      <c r="F1236" s="167">
        <f>'prévision 2017'!I1247</f>
        <v>234410000</v>
      </c>
      <c r="G1236" s="386">
        <f>'prévision 2017'!H1247</f>
        <v>224109328</v>
      </c>
      <c r="H1236" s="167">
        <f>'prévision 2017'!G1247</f>
        <v>234410000</v>
      </c>
    </row>
    <row r="1237" spans="1:8" ht="30" customHeight="1">
      <c r="A1237" s="165" t="s">
        <v>167</v>
      </c>
      <c r="B1237" s="435">
        <v>9998</v>
      </c>
      <c r="C1237" s="384" t="s">
        <v>509</v>
      </c>
      <c r="D1237" s="365">
        <v>6051</v>
      </c>
      <c r="E1237" s="390" t="s">
        <v>601</v>
      </c>
      <c r="F1237" s="167">
        <f>'prévision 2017'!I1248</f>
        <v>100000000</v>
      </c>
      <c r="G1237" s="386">
        <f>'prévision 2017'!H1248</f>
        <v>0</v>
      </c>
      <c r="H1237" s="167">
        <f>'prévision 2017'!G1248</f>
        <v>100000000</v>
      </c>
    </row>
    <row r="1238" spans="1:8" ht="30" customHeight="1">
      <c r="A1238" s="165" t="s">
        <v>167</v>
      </c>
      <c r="B1238" s="435">
        <v>9998</v>
      </c>
      <c r="C1238" s="384" t="s">
        <v>509</v>
      </c>
      <c r="D1238" s="365">
        <v>6052</v>
      </c>
      <c r="E1238" s="390" t="s">
        <v>598</v>
      </c>
      <c r="F1238" s="167">
        <f>'prévision 2017'!I1249</f>
        <v>300900000</v>
      </c>
      <c r="G1238" s="386">
        <f>'prévision 2017'!H1249</f>
        <v>800000</v>
      </c>
      <c r="H1238" s="167">
        <f>'prévision 2017'!G1249</f>
        <v>300900000</v>
      </c>
    </row>
    <row r="1239" spans="1:8" ht="30" customHeight="1">
      <c r="A1239" s="165" t="s">
        <v>167</v>
      </c>
      <c r="B1239" s="435">
        <v>9998</v>
      </c>
      <c r="C1239" s="384" t="s">
        <v>509</v>
      </c>
      <c r="D1239" s="365">
        <v>6152</v>
      </c>
      <c r="E1239" s="390" t="s">
        <v>256</v>
      </c>
      <c r="F1239" s="167">
        <f>'prévision 2017'!I1250</f>
        <v>1000000000</v>
      </c>
      <c r="G1239" s="386">
        <f>'prévision 2017'!H1250</f>
        <v>6792901502</v>
      </c>
      <c r="H1239" s="167">
        <f>'prévision 2017'!G1250</f>
        <v>120000000</v>
      </c>
    </row>
    <row r="1240" spans="1:8" ht="30" customHeight="1">
      <c r="A1240" s="165" t="s">
        <v>167</v>
      </c>
      <c r="B1240" s="435">
        <v>9998</v>
      </c>
      <c r="C1240" s="384" t="s">
        <v>509</v>
      </c>
      <c r="D1240" s="365">
        <v>6161</v>
      </c>
      <c r="E1240" s="390" t="s">
        <v>277</v>
      </c>
      <c r="F1240" s="167">
        <f>'prévision 2017'!I1251</f>
        <v>259924932.55999997</v>
      </c>
      <c r="G1240" s="386">
        <f>'prévision 2017'!H1251</f>
        <v>247920462</v>
      </c>
      <c r="H1240" s="167">
        <f>'prévision 2017'!G1251</f>
        <v>259924932.55999997</v>
      </c>
    </row>
    <row r="1241" spans="1:8" ht="30" customHeight="1">
      <c r="A1241" s="165" t="s">
        <v>167</v>
      </c>
      <c r="B1241" s="435">
        <v>9998</v>
      </c>
      <c r="C1241" s="384" t="s">
        <v>509</v>
      </c>
      <c r="D1241" s="365">
        <v>6111</v>
      </c>
      <c r="E1241" s="390" t="s">
        <v>11</v>
      </c>
      <c r="F1241" s="167">
        <f>'prévision 2017'!I1252</f>
        <v>1148227160</v>
      </c>
      <c r="G1241" s="386">
        <f>'prévision 2017'!H1252</f>
        <v>1034742833</v>
      </c>
      <c r="H1241" s="167">
        <f>'prévision 2017'!G1252</f>
        <v>768000000</v>
      </c>
    </row>
    <row r="1242" spans="1:8" ht="30" customHeight="1">
      <c r="A1242" s="165" t="s">
        <v>167</v>
      </c>
      <c r="B1242" s="435">
        <v>9998</v>
      </c>
      <c r="C1242" s="384" t="s">
        <v>509</v>
      </c>
      <c r="D1242" s="365">
        <v>6112</v>
      </c>
      <c r="E1242" s="368" t="s">
        <v>172</v>
      </c>
      <c r="F1242" s="167">
        <f>'prévision 2017'!I1253</f>
        <v>145474703.176</v>
      </c>
      <c r="G1242" s="386">
        <f>'prévision 2017'!H1253</f>
        <v>177229187</v>
      </c>
      <c r="H1242" s="167">
        <f>'prévision 2017'!G1253</f>
        <v>145474703.176</v>
      </c>
    </row>
    <row r="1243" spans="1:8" ht="30" customHeight="1">
      <c r="A1243" s="165" t="s">
        <v>167</v>
      </c>
      <c r="B1243" s="435">
        <v>9998</v>
      </c>
      <c r="C1243" s="384" t="s">
        <v>509</v>
      </c>
      <c r="D1243" s="365">
        <v>6171</v>
      </c>
      <c r="E1243" s="390" t="s">
        <v>173</v>
      </c>
      <c r="F1243" s="167">
        <f>'prévision 2017'!I1254</f>
        <v>190417219</v>
      </c>
      <c r="G1243" s="386">
        <f>'prévision 2017'!H1254</f>
        <v>89240000</v>
      </c>
      <c r="H1243" s="167">
        <f>'prévision 2017'!G1254</f>
        <v>190417219</v>
      </c>
    </row>
    <row r="1244" spans="1:8" ht="30" customHeight="1">
      <c r="A1244" s="165" t="s">
        <v>167</v>
      </c>
      <c r="B1244" s="435">
        <v>9998</v>
      </c>
      <c r="C1244" s="384" t="s">
        <v>509</v>
      </c>
      <c r="D1244" s="365">
        <v>6173</v>
      </c>
      <c r="E1244" s="390" t="s">
        <v>19</v>
      </c>
      <c r="F1244" s="167">
        <f>'prévision 2017'!I1255</f>
        <v>31482720.159999996</v>
      </c>
      <c r="G1244" s="386">
        <f>'prévision 2017'!H1255</f>
        <v>27935850</v>
      </c>
      <c r="H1244" s="167">
        <f>'prévision 2017'!G1255</f>
        <v>31482720.159999996</v>
      </c>
    </row>
    <row r="1245" spans="1:8" ht="30" customHeight="1">
      <c r="A1245" s="165" t="s">
        <v>167</v>
      </c>
      <c r="B1245" s="435">
        <v>9998</v>
      </c>
      <c r="C1245" s="384" t="s">
        <v>509</v>
      </c>
      <c r="D1245" s="365">
        <v>6013</v>
      </c>
      <c r="E1245" s="390" t="s">
        <v>174</v>
      </c>
      <c r="F1245" s="167">
        <f>'prévision 2017'!I1256</f>
        <v>0</v>
      </c>
      <c r="G1245" s="386">
        <f>'prévision 2017'!H1256</f>
        <v>0</v>
      </c>
      <c r="H1245" s="167">
        <f>'prévision 2017'!G1256</f>
        <v>0</v>
      </c>
    </row>
    <row r="1246" spans="1:8" ht="30" customHeight="1">
      <c r="A1246" s="165" t="s">
        <v>167</v>
      </c>
      <c r="B1246" s="435">
        <v>9998</v>
      </c>
      <c r="C1246" s="384" t="s">
        <v>509</v>
      </c>
      <c r="D1246" s="365">
        <v>6175</v>
      </c>
      <c r="E1246" s="390" t="s">
        <v>13</v>
      </c>
      <c r="F1246" s="167">
        <f>'prévision 2017'!I1257</f>
        <v>80000000</v>
      </c>
      <c r="G1246" s="386">
        <f>'prévision 2017'!H1257</f>
        <v>45145600</v>
      </c>
      <c r="H1246" s="167">
        <f>'prévision 2017'!G1257</f>
        <v>80000000</v>
      </c>
    </row>
    <row r="1247" spans="1:8" ht="30" customHeight="1">
      <c r="A1247" s="165" t="s">
        <v>167</v>
      </c>
      <c r="B1247" s="445">
        <v>9998</v>
      </c>
      <c r="C1247" s="156" t="s">
        <v>509</v>
      </c>
      <c r="D1247" s="365">
        <v>6311</v>
      </c>
      <c r="E1247" s="390" t="s">
        <v>271</v>
      </c>
      <c r="F1247" s="167">
        <f>'prévision 2017'!I1258</f>
        <v>432388536</v>
      </c>
      <c r="G1247" s="386">
        <f>'prévision 2017'!H1258</f>
        <v>2591883878</v>
      </c>
      <c r="H1247" s="167">
        <f>'prévision 2017'!G1258</f>
        <v>432388536</v>
      </c>
    </row>
    <row r="1248" spans="1:8" ht="30" customHeight="1">
      <c r="A1248" s="165" t="s">
        <v>167</v>
      </c>
      <c r="B1248" s="445">
        <v>9998</v>
      </c>
      <c r="C1248" s="156" t="s">
        <v>510</v>
      </c>
      <c r="D1248" s="365">
        <v>6433</v>
      </c>
      <c r="E1248" s="390" t="s">
        <v>42</v>
      </c>
      <c r="F1248" s="167">
        <f>'prévision 2017'!I1259</f>
        <v>100381767.161</v>
      </c>
      <c r="G1248" s="386">
        <f>'prévision 2017'!H1259</f>
        <v>92037955</v>
      </c>
      <c r="H1248" s="167">
        <f>'prévision 2017'!G1259</f>
        <v>100381767.161</v>
      </c>
    </row>
    <row r="1249" spans="1:8" ht="30" customHeight="1">
      <c r="A1249" s="165" t="s">
        <v>167</v>
      </c>
      <c r="B1249" s="445">
        <v>9998</v>
      </c>
      <c r="C1249" s="156" t="s">
        <v>510</v>
      </c>
      <c r="D1249" s="379" t="s">
        <v>463</v>
      </c>
      <c r="E1249" s="500"/>
      <c r="F1249" s="491">
        <f>SUM(F1231:F1248)</f>
        <v>4812613634.057</v>
      </c>
      <c r="G1249" s="491">
        <f>SUM(G1231:G1248)</f>
        <v>11929933398</v>
      </c>
      <c r="H1249" s="491">
        <f>SUM(H1231:H1248)</f>
        <v>3558348876.0569997</v>
      </c>
    </row>
    <row r="1250" spans="1:7" ht="30" customHeight="1">
      <c r="A1250" s="387" t="s">
        <v>167</v>
      </c>
      <c r="B1250" s="445">
        <v>9999</v>
      </c>
      <c r="C1250" s="493" t="s">
        <v>694</v>
      </c>
      <c r="F1250" s="167"/>
      <c r="G1250" s="528"/>
    </row>
    <row r="1251" spans="1:8" ht="30" customHeight="1">
      <c r="A1251" s="387" t="s">
        <v>167</v>
      </c>
      <c r="B1251" s="435">
        <v>9999</v>
      </c>
      <c r="C1251" s="384" t="s">
        <v>509</v>
      </c>
      <c r="D1251" s="365">
        <v>6580</v>
      </c>
      <c r="E1251" s="446" t="s">
        <v>332</v>
      </c>
      <c r="F1251" s="167">
        <f>'prévision 2017'!I1262</f>
        <v>461346752</v>
      </c>
      <c r="G1251" s="167">
        <f>'prévision 2017'!H1262</f>
        <v>455664316</v>
      </c>
      <c r="H1251" s="167">
        <f>'prévision 2017'!G1262</f>
        <v>491346752</v>
      </c>
    </row>
    <row r="1252" spans="1:8" ht="30" customHeight="1">
      <c r="A1252" s="387" t="s">
        <v>167</v>
      </c>
      <c r="B1252" s="445">
        <v>9999</v>
      </c>
      <c r="C1252" s="379" t="s">
        <v>463</v>
      </c>
      <c r="D1252" s="501"/>
      <c r="E1252" s="479"/>
      <c r="F1252" s="491">
        <f>F1251</f>
        <v>461346752</v>
      </c>
      <c r="G1252" s="491">
        <f>G1251</f>
        <v>455664316</v>
      </c>
      <c r="H1252" s="491">
        <f>H1251</f>
        <v>491346752</v>
      </c>
    </row>
    <row r="1253" spans="1:7" ht="30" customHeight="1">
      <c r="A1253" s="387" t="s">
        <v>167</v>
      </c>
      <c r="B1253" s="445">
        <v>9997</v>
      </c>
      <c r="C1253" s="441" t="s">
        <v>176</v>
      </c>
      <c r="D1253" s="434"/>
      <c r="F1253" s="167"/>
      <c r="G1253" s="528"/>
    </row>
    <row r="1254" spans="1:8" ht="30" customHeight="1">
      <c r="A1254" s="387" t="s">
        <v>167</v>
      </c>
      <c r="B1254" s="435">
        <v>9997</v>
      </c>
      <c r="C1254" s="384" t="s">
        <v>509</v>
      </c>
      <c r="D1254" s="365">
        <v>6138</v>
      </c>
      <c r="E1254" s="446" t="s">
        <v>177</v>
      </c>
      <c r="F1254" s="167">
        <f>'prévision 2017'!I1265</f>
        <v>576646788</v>
      </c>
      <c r="G1254" s="167">
        <f>'prévision 2017'!H1265</f>
        <v>848235826</v>
      </c>
      <c r="H1254" s="167">
        <f>'prévision 2017'!G1265</f>
        <v>562000000</v>
      </c>
    </row>
    <row r="1255" spans="1:8" ht="30" customHeight="1">
      <c r="A1255" s="387" t="s">
        <v>167</v>
      </c>
      <c r="B1255" s="445">
        <v>9997</v>
      </c>
      <c r="C1255" s="379" t="s">
        <v>463</v>
      </c>
      <c r="D1255" s="446"/>
      <c r="E1255" s="479"/>
      <c r="F1255" s="491">
        <f>F1254</f>
        <v>576646788</v>
      </c>
      <c r="G1255" s="491">
        <f>G1254</f>
        <v>848235826</v>
      </c>
      <c r="H1255" s="491">
        <f>H1254</f>
        <v>562000000</v>
      </c>
    </row>
    <row r="1256" spans="1:7" ht="30" customHeight="1">
      <c r="A1256" s="387" t="s">
        <v>167</v>
      </c>
      <c r="B1256" s="465">
        <v>9996</v>
      </c>
      <c r="C1256" s="441" t="s">
        <v>178</v>
      </c>
      <c r="D1256" s="443"/>
      <c r="F1256" s="167"/>
      <c r="G1256" s="528"/>
    </row>
    <row r="1257" spans="1:8" ht="30" customHeight="1">
      <c r="A1257" s="165" t="s">
        <v>167</v>
      </c>
      <c r="B1257" s="465">
        <v>9996</v>
      </c>
      <c r="C1257" s="156" t="s">
        <v>480</v>
      </c>
      <c r="D1257" s="365">
        <v>1763</v>
      </c>
      <c r="E1257" s="368" t="s">
        <v>249</v>
      </c>
      <c r="F1257" s="386">
        <f>'prévision 2017'!I1268</f>
        <v>0</v>
      </c>
      <c r="G1257" s="386">
        <f>'prévision 2017'!H1268</f>
        <v>0</v>
      </c>
      <c r="H1257" s="167">
        <f>'prévision 2017'!G1268</f>
        <v>0</v>
      </c>
    </row>
    <row r="1258" spans="1:8" ht="30" customHeight="1">
      <c r="A1258" s="165" t="s">
        <v>167</v>
      </c>
      <c r="B1258" s="465">
        <v>9996</v>
      </c>
      <c r="C1258" s="156" t="s">
        <v>480</v>
      </c>
      <c r="D1258" s="365">
        <v>1711</v>
      </c>
      <c r="E1258" s="368" t="s">
        <v>179</v>
      </c>
      <c r="F1258" s="386">
        <f>'prévision 2017'!I1269</f>
        <v>442833369.2</v>
      </c>
      <c r="G1258" s="386">
        <f>'prévision 2017'!H1269</f>
        <v>316295617</v>
      </c>
      <c r="H1258" s="167">
        <f>'prévision 2017'!G1269</f>
        <v>442833369.2</v>
      </c>
    </row>
    <row r="1259" spans="1:8" ht="30" customHeight="1">
      <c r="A1259" s="165" t="s">
        <v>167</v>
      </c>
      <c r="B1259" s="465">
        <v>9996</v>
      </c>
      <c r="C1259" s="156" t="s">
        <v>480</v>
      </c>
      <c r="D1259" s="365">
        <v>1712</v>
      </c>
      <c r="E1259" s="368" t="s">
        <v>180</v>
      </c>
      <c r="F1259" s="386">
        <f>'prévision 2017'!I1270</f>
        <v>198243257.9</v>
      </c>
      <c r="G1259" s="386">
        <f>'prévision 2017'!H1270</f>
        <v>102874320</v>
      </c>
      <c r="H1259" s="167">
        <f>'prévision 2017'!G1270</f>
        <v>198243257.9</v>
      </c>
    </row>
    <row r="1260" spans="1:8" ht="30" customHeight="1">
      <c r="A1260" s="165" t="s">
        <v>167</v>
      </c>
      <c r="B1260" s="465">
        <v>9996</v>
      </c>
      <c r="C1260" s="156" t="s">
        <v>480</v>
      </c>
      <c r="D1260" s="365">
        <v>1761</v>
      </c>
      <c r="E1260" s="368" t="s">
        <v>181</v>
      </c>
      <c r="F1260" s="386">
        <f>'prévision 2017'!I1271</f>
        <v>0</v>
      </c>
      <c r="G1260" s="386">
        <f>'prévision 2017'!H1271</f>
        <v>0</v>
      </c>
      <c r="H1260" s="167">
        <f>'prévision 2017'!G1271</f>
        <v>0</v>
      </c>
    </row>
    <row r="1261" spans="1:8" ht="30" customHeight="1">
      <c r="A1261" s="165" t="s">
        <v>167</v>
      </c>
      <c r="B1261" s="465">
        <v>9996</v>
      </c>
      <c r="C1261" s="156" t="s">
        <v>480</v>
      </c>
      <c r="D1261" s="365">
        <v>1762</v>
      </c>
      <c r="E1261" s="368" t="s">
        <v>248</v>
      </c>
      <c r="F1261" s="386">
        <f>'prévision 2017'!I1272</f>
        <v>0</v>
      </c>
      <c r="G1261" s="386">
        <f>'prévision 2017'!H1272</f>
        <v>0</v>
      </c>
      <c r="H1261" s="167">
        <f>'prévision 2017'!G1272</f>
        <v>0</v>
      </c>
    </row>
    <row r="1262" spans="1:8" ht="30" customHeight="1">
      <c r="A1262" s="165" t="s">
        <v>167</v>
      </c>
      <c r="B1262" s="465">
        <v>9996</v>
      </c>
      <c r="C1262" s="156" t="s">
        <v>480</v>
      </c>
      <c r="D1262" s="365">
        <v>1861</v>
      </c>
      <c r="E1262" s="416" t="s">
        <v>647</v>
      </c>
      <c r="F1262" s="386">
        <f>'prévision 2017'!I1273</f>
        <v>500000000</v>
      </c>
      <c r="G1262" s="386">
        <f>'prévision 2017'!H1273</f>
        <v>0</v>
      </c>
      <c r="H1262" s="167">
        <f>'prévision 2017'!G1273</f>
        <v>500000000</v>
      </c>
    </row>
    <row r="1263" spans="1:8" ht="30" customHeight="1">
      <c r="A1263" s="165" t="s">
        <v>167</v>
      </c>
      <c r="B1263" s="465">
        <v>9996</v>
      </c>
      <c r="C1263" s="156" t="s">
        <v>480</v>
      </c>
      <c r="D1263" s="365">
        <v>6452</v>
      </c>
      <c r="E1263" s="368" t="s">
        <v>182</v>
      </c>
      <c r="F1263" s="386">
        <f>'prévision 2017'!I1274</f>
        <v>290000000</v>
      </c>
      <c r="G1263" s="386">
        <f>'prévision 2017'!H1274</f>
        <v>115142571</v>
      </c>
      <c r="H1263" s="167">
        <f>'prévision 2017'!G1274</f>
        <v>320000000</v>
      </c>
    </row>
    <row r="1264" spans="1:8" ht="30" customHeight="1">
      <c r="A1264" s="165" t="s">
        <v>167</v>
      </c>
      <c r="B1264" s="465">
        <v>9996</v>
      </c>
      <c r="C1264" s="156" t="s">
        <v>480</v>
      </c>
      <c r="D1264" s="365">
        <v>6711</v>
      </c>
      <c r="E1264" s="368" t="s">
        <v>278</v>
      </c>
      <c r="F1264" s="386">
        <f>'prévision 2017'!I1275</f>
        <v>22242495.4</v>
      </c>
      <c r="G1264" s="386">
        <f>'prévision 2017'!H1275</f>
        <v>17332353</v>
      </c>
      <c r="H1264" s="167">
        <f>'prévision 2017'!G1275</f>
        <v>22242495.4</v>
      </c>
    </row>
    <row r="1265" spans="1:8" ht="30" customHeight="1">
      <c r="A1265" s="165" t="s">
        <v>167</v>
      </c>
      <c r="B1265" s="465">
        <v>9996</v>
      </c>
      <c r="C1265" s="156" t="s">
        <v>480</v>
      </c>
      <c r="D1265" s="365">
        <v>6712</v>
      </c>
      <c r="E1265" s="368" t="s">
        <v>183</v>
      </c>
      <c r="F1265" s="386">
        <f>'prévision 2017'!I1276</f>
        <v>192312034</v>
      </c>
      <c r="G1265" s="386">
        <f>'prévision 2017'!H1276</f>
        <v>92189049</v>
      </c>
      <c r="H1265" s="167">
        <f>'prévision 2017'!G1276</f>
        <v>192312034</v>
      </c>
    </row>
    <row r="1266" spans="1:8" ht="30" customHeight="1">
      <c r="A1266" s="165" t="s">
        <v>167</v>
      </c>
      <c r="B1266" s="465">
        <v>9996</v>
      </c>
      <c r="C1266" s="156" t="s">
        <v>480</v>
      </c>
      <c r="D1266" s="365">
        <v>6717</v>
      </c>
      <c r="E1266" s="368" t="s">
        <v>329</v>
      </c>
      <c r="F1266" s="386">
        <f>'prévision 2017'!I1277</f>
        <v>95000000</v>
      </c>
      <c r="G1266" s="386">
        <f>'prévision 2017'!H1277</f>
        <v>12113714</v>
      </c>
      <c r="H1266" s="167">
        <f>'prévision 2017'!G1277</f>
        <v>95000000</v>
      </c>
    </row>
    <row r="1267" spans="1:8" ht="30" customHeight="1">
      <c r="A1267" s="165" t="s">
        <v>167</v>
      </c>
      <c r="B1267" s="465">
        <v>9996</v>
      </c>
      <c r="C1267" s="379" t="s">
        <v>463</v>
      </c>
      <c r="D1267" s="472"/>
      <c r="E1267" s="479"/>
      <c r="F1267" s="491">
        <f>SUM(F1257:F1266)</f>
        <v>1740631156.5</v>
      </c>
      <c r="G1267" s="491">
        <f>SUM(G1257:G1266)</f>
        <v>655947624</v>
      </c>
      <c r="H1267" s="491">
        <f>SUM(H1257:H1266)</f>
        <v>1770631156.5</v>
      </c>
    </row>
    <row r="1268" spans="1:8" ht="30" customHeight="1">
      <c r="A1268" s="502" t="s">
        <v>167</v>
      </c>
      <c r="B1268" s="503">
        <v>5500</v>
      </c>
      <c r="C1268" s="378" t="s">
        <v>502</v>
      </c>
      <c r="D1268" s="470" t="s">
        <v>648</v>
      </c>
      <c r="E1268" s="416"/>
      <c r="F1268" s="491"/>
      <c r="G1268" s="438"/>
      <c r="H1268" s="438"/>
    </row>
    <row r="1269" spans="1:8" ht="32.25" customHeight="1">
      <c r="A1269" s="502" t="s">
        <v>167</v>
      </c>
      <c r="B1269" s="503">
        <v>5500</v>
      </c>
      <c r="C1269" s="378" t="s">
        <v>502</v>
      </c>
      <c r="D1269" s="365">
        <v>2011</v>
      </c>
      <c r="E1269" s="368" t="s">
        <v>649</v>
      </c>
      <c r="F1269" s="167">
        <f>'prévision 2017'!I1282</f>
        <v>500000000</v>
      </c>
      <c r="G1269" s="167">
        <f>'prévision 2017'!H1282</f>
        <v>172591900</v>
      </c>
      <c r="H1269" s="528">
        <f>'prévision 2017'!G1282</f>
        <v>500000000</v>
      </c>
    </row>
    <row r="1270" spans="1:8" ht="18.75" customHeight="1">
      <c r="A1270" s="502" t="s">
        <v>167</v>
      </c>
      <c r="B1270" s="465">
        <v>5500</v>
      </c>
      <c r="C1270" s="379" t="s">
        <v>463</v>
      </c>
      <c r="D1270" s="472"/>
      <c r="E1270" s="479"/>
      <c r="F1270" s="491">
        <f>F1269</f>
        <v>500000000</v>
      </c>
      <c r="G1270" s="491">
        <f>G1269</f>
        <v>172591900</v>
      </c>
      <c r="H1270" s="491">
        <f>H1269</f>
        <v>500000000</v>
      </c>
    </row>
    <row r="1271" spans="1:7" ht="30" customHeight="1">
      <c r="A1271" s="165" t="s">
        <v>167</v>
      </c>
      <c r="B1271" s="465">
        <v>5501</v>
      </c>
      <c r="C1271" s="421" t="s">
        <v>184</v>
      </c>
      <c r="F1271" s="167"/>
      <c r="G1271" s="528"/>
    </row>
    <row r="1272" spans="1:8" ht="30" customHeight="1">
      <c r="A1272" s="165" t="s">
        <v>167</v>
      </c>
      <c r="B1272" s="465">
        <v>5501</v>
      </c>
      <c r="C1272" s="156" t="s">
        <v>496</v>
      </c>
      <c r="D1272" s="374">
        <v>2141</v>
      </c>
      <c r="E1272" s="501" t="s">
        <v>185</v>
      </c>
      <c r="F1272" s="167">
        <f>'prévision 2017'!I1285</f>
        <v>0</v>
      </c>
      <c r="G1272" s="167">
        <f>'prévision 2017'!H1285</f>
        <v>0</v>
      </c>
      <c r="H1272" s="167">
        <f>'prévision 2017'!G1285</f>
        <v>0</v>
      </c>
    </row>
    <row r="1273" spans="1:8" ht="30" customHeight="1">
      <c r="A1273" s="165" t="s">
        <v>167</v>
      </c>
      <c r="B1273" s="465">
        <v>5501</v>
      </c>
      <c r="C1273" s="379" t="s">
        <v>463</v>
      </c>
      <c r="D1273" s="443"/>
      <c r="E1273" s="472"/>
      <c r="F1273" s="491">
        <f>F1272</f>
        <v>0</v>
      </c>
      <c r="G1273" s="491">
        <f>G1272</f>
        <v>0</v>
      </c>
      <c r="H1273" s="491">
        <f>H1272</f>
        <v>0</v>
      </c>
    </row>
    <row r="1274" spans="1:7" ht="30" customHeight="1">
      <c r="A1274" s="165" t="s">
        <v>167</v>
      </c>
      <c r="B1274" s="465">
        <v>5502</v>
      </c>
      <c r="C1274" s="441" t="s">
        <v>186</v>
      </c>
      <c r="D1274" s="443"/>
      <c r="F1274" s="167"/>
      <c r="G1274" s="528"/>
    </row>
    <row r="1275" spans="1:8" ht="30" customHeight="1">
      <c r="A1275" s="165" t="s">
        <v>167</v>
      </c>
      <c r="B1275" s="465">
        <v>5502</v>
      </c>
      <c r="C1275" s="156" t="s">
        <v>468</v>
      </c>
      <c r="D1275" s="470">
        <v>2121</v>
      </c>
      <c r="E1275" s="372" t="s">
        <v>590</v>
      </c>
      <c r="F1275" s="167">
        <f>'prévision 2017'!I1288</f>
        <v>320510296.24</v>
      </c>
      <c r="G1275" s="167">
        <f>'prévision 2017'!H1288</f>
        <v>59302840</v>
      </c>
      <c r="H1275" s="167">
        <f>'prévision 2017'!G1288</f>
        <v>320510296</v>
      </c>
    </row>
    <row r="1276" spans="1:8" ht="30" customHeight="1">
      <c r="A1276" s="165" t="s">
        <v>167</v>
      </c>
      <c r="B1276" s="465">
        <v>5502</v>
      </c>
      <c r="C1276" s="379" t="s">
        <v>463</v>
      </c>
      <c r="D1276" s="504"/>
      <c r="E1276" s="505"/>
      <c r="F1276" s="491">
        <f>F1275</f>
        <v>320510296.24</v>
      </c>
      <c r="G1276" s="491">
        <f>G1275</f>
        <v>59302840</v>
      </c>
      <c r="H1276" s="491">
        <f>H1275</f>
        <v>320510296</v>
      </c>
    </row>
    <row r="1277" spans="1:7" ht="30" customHeight="1">
      <c r="A1277" s="165" t="s">
        <v>167</v>
      </c>
      <c r="B1277" s="465">
        <v>5503</v>
      </c>
      <c r="C1277" s="441" t="s">
        <v>324</v>
      </c>
      <c r="D1277" s="434"/>
      <c r="F1277" s="167"/>
      <c r="G1277" s="528"/>
    </row>
    <row r="1278" spans="1:8" ht="30" customHeight="1">
      <c r="A1278" s="165" t="s">
        <v>167</v>
      </c>
      <c r="B1278" s="465">
        <v>5503</v>
      </c>
      <c r="C1278" s="156" t="s">
        <v>511</v>
      </c>
      <c r="D1278" s="506">
        <v>2761</v>
      </c>
      <c r="E1278" s="507" t="s">
        <v>325</v>
      </c>
      <c r="F1278" s="167">
        <f>'prévision 2017'!I1291</f>
        <v>0</v>
      </c>
      <c r="G1278" s="167">
        <f>'prévision 2017'!H1291</f>
        <v>0</v>
      </c>
      <c r="H1278" s="167">
        <f>'prévision 2017'!G1291</f>
        <v>0</v>
      </c>
    </row>
    <row r="1279" spans="1:8" ht="30" customHeight="1">
      <c r="A1279" s="165" t="s">
        <v>167</v>
      </c>
      <c r="B1279" s="465">
        <v>5503</v>
      </c>
      <c r="C1279" s="156" t="s">
        <v>472</v>
      </c>
      <c r="D1279" s="506">
        <v>2762</v>
      </c>
      <c r="E1279" s="499" t="s">
        <v>323</v>
      </c>
      <c r="F1279" s="167">
        <f>'prévision 2017'!I1292</f>
        <v>1219000000</v>
      </c>
      <c r="G1279" s="167">
        <f>'prévision 2017'!H1292</f>
        <v>0</v>
      </c>
      <c r="H1279" s="167">
        <f>'prévision 2017'!G1292</f>
        <v>1219000000</v>
      </c>
    </row>
    <row r="1280" spans="1:8" ht="30" customHeight="1">
      <c r="A1280" s="165" t="s">
        <v>167</v>
      </c>
      <c r="B1280" s="465">
        <v>5503</v>
      </c>
      <c r="C1280" s="379" t="s">
        <v>463</v>
      </c>
      <c r="D1280" s="504"/>
      <c r="E1280" s="505"/>
      <c r="F1280" s="491">
        <f>SUM(F1277:F1279)</f>
        <v>1219000000</v>
      </c>
      <c r="G1280" s="491">
        <f>SUM(G1277:G1279)</f>
        <v>0</v>
      </c>
      <c r="H1280" s="491">
        <f>SUM(H1277:H1279)</f>
        <v>1219000000</v>
      </c>
    </row>
    <row r="1281" spans="1:7" ht="30" customHeight="1">
      <c r="A1281" s="165" t="s">
        <v>167</v>
      </c>
      <c r="B1281" s="465">
        <v>5601</v>
      </c>
      <c r="C1281" s="441" t="s">
        <v>187</v>
      </c>
      <c r="D1281" s="508"/>
      <c r="F1281" s="167"/>
      <c r="G1281" s="528"/>
    </row>
    <row r="1282" spans="1:8" ht="30" customHeight="1">
      <c r="A1282" s="165" t="s">
        <v>167</v>
      </c>
      <c r="B1282" s="465">
        <v>5601</v>
      </c>
      <c r="C1282" s="509" t="s">
        <v>468</v>
      </c>
      <c r="D1282" s="470">
        <v>2164</v>
      </c>
      <c r="E1282" s="510" t="s">
        <v>322</v>
      </c>
      <c r="F1282" s="167">
        <f>'prévision 2017'!I1295</f>
        <v>40000000</v>
      </c>
      <c r="G1282" s="167">
        <f>'prévision 2017'!H1295</f>
        <v>20416100</v>
      </c>
      <c r="H1282" s="167">
        <f>'prévision 2017'!G1295</f>
        <v>40000000</v>
      </c>
    </row>
    <row r="1283" spans="1:8" ht="30" customHeight="1">
      <c r="A1283" s="165" t="s">
        <v>167</v>
      </c>
      <c r="B1283" s="465">
        <v>5601</v>
      </c>
      <c r="C1283" s="156" t="s">
        <v>468</v>
      </c>
      <c r="D1283" s="470">
        <v>2165</v>
      </c>
      <c r="E1283" s="510" t="s">
        <v>321</v>
      </c>
      <c r="F1283" s="167">
        <f>'prévision 2017'!I1296</f>
        <v>60000000</v>
      </c>
      <c r="G1283" s="167">
        <f>'prévision 2017'!H1296</f>
        <v>25122500</v>
      </c>
      <c r="H1283" s="167">
        <f>'prévision 2017'!G1296</f>
        <v>60000000</v>
      </c>
    </row>
    <row r="1284" spans="1:8" ht="30" customHeight="1">
      <c r="A1284" s="165" t="s">
        <v>167</v>
      </c>
      <c r="B1284" s="465">
        <v>5601</v>
      </c>
      <c r="C1284" s="156" t="s">
        <v>468</v>
      </c>
      <c r="D1284" s="470">
        <v>2171</v>
      </c>
      <c r="E1284" s="510" t="s">
        <v>284</v>
      </c>
      <c r="F1284" s="167">
        <f>'prévision 2017'!I1297</f>
        <v>90786880</v>
      </c>
      <c r="G1284" s="167">
        <f>'prévision 2017'!H1297</f>
        <v>85400000</v>
      </c>
      <c r="H1284" s="167">
        <f>'prévision 2017'!G1297</f>
        <v>90786880</v>
      </c>
    </row>
    <row r="1285" spans="1:8" ht="18.75" customHeight="1">
      <c r="A1285" s="165" t="s">
        <v>167</v>
      </c>
      <c r="B1285" s="465">
        <v>5601</v>
      </c>
      <c r="C1285" s="379" t="s">
        <v>463</v>
      </c>
      <c r="D1285" s="511"/>
      <c r="E1285" s="512"/>
      <c r="F1285" s="491">
        <f>SUM(F1282:F1284)</f>
        <v>190786880</v>
      </c>
      <c r="G1285" s="491">
        <f>SUM(G1282:G1284)</f>
        <v>130938600</v>
      </c>
      <c r="H1285" s="491">
        <f>SUM(H1282:H1284)</f>
        <v>190786880</v>
      </c>
    </row>
    <row r="1286" spans="1:7" ht="21.75" customHeight="1">
      <c r="A1286" s="165" t="s">
        <v>167</v>
      </c>
      <c r="B1286" s="465">
        <v>5900</v>
      </c>
      <c r="C1286" s="513" t="s">
        <v>188</v>
      </c>
      <c r="D1286" s="513"/>
      <c r="F1286" s="167"/>
      <c r="G1286" s="528"/>
    </row>
    <row r="1287" spans="1:8" ht="30" customHeight="1">
      <c r="A1287" s="165" t="s">
        <v>167</v>
      </c>
      <c r="B1287" s="465">
        <v>5900</v>
      </c>
      <c r="C1287" s="156" t="s">
        <v>468</v>
      </c>
      <c r="D1287" s="365">
        <v>2121</v>
      </c>
      <c r="E1287" s="372" t="s">
        <v>590</v>
      </c>
      <c r="F1287" s="386">
        <f>'prévision 2017'!I1302</f>
        <v>747464039</v>
      </c>
      <c r="G1287" s="386">
        <f>'prévision 2017'!H1302</f>
        <v>125307449</v>
      </c>
      <c r="H1287" s="167">
        <f>'prévision 2017'!G1300</f>
        <v>747464039</v>
      </c>
    </row>
    <row r="1288" spans="1:8" ht="30" customHeight="1">
      <c r="A1288" s="165" t="s">
        <v>167</v>
      </c>
      <c r="B1288" s="465">
        <v>5900</v>
      </c>
      <c r="C1288" s="156" t="s">
        <v>468</v>
      </c>
      <c r="D1288" s="514"/>
      <c r="E1288" s="497" t="s">
        <v>328</v>
      </c>
      <c r="F1288" s="167">
        <f>'prévision 2017'!I1301</f>
        <v>0</v>
      </c>
      <c r="G1288" s="386">
        <f>'prévision 2017'!H1303</f>
        <v>0</v>
      </c>
      <c r="H1288" s="167">
        <f>'prévision 2017'!G1301</f>
        <v>0</v>
      </c>
    </row>
    <row r="1289" spans="1:8" ht="18.75" customHeight="1">
      <c r="A1289" s="165" t="s">
        <v>167</v>
      </c>
      <c r="B1289" s="465">
        <v>5900</v>
      </c>
      <c r="C1289" s="379" t="s">
        <v>463</v>
      </c>
      <c r="D1289" s="515"/>
      <c r="E1289" s="516"/>
      <c r="F1289" s="491">
        <f>SUM(F1287:F1288)</f>
        <v>747464039</v>
      </c>
      <c r="G1289" s="491">
        <f>SUM(G1287:G1288)</f>
        <v>125307449</v>
      </c>
      <c r="H1289" s="491">
        <f>SUM(H1287:H1288)</f>
        <v>747464039</v>
      </c>
    </row>
    <row r="1290" spans="1:10" ht="30" customHeight="1">
      <c r="A1290" s="165" t="s">
        <v>167</v>
      </c>
      <c r="B1290" s="513" t="s">
        <v>72</v>
      </c>
      <c r="F1290" s="491">
        <f>F1289+F1285+F1280+F1276+F1270+F1273+F1267+F1255+F1252+F1249</f>
        <v>10568999545.797</v>
      </c>
      <c r="G1290" s="491">
        <f>G1289+G1285+G1280+G1276+G1270+G1273+G1267+G1255+G1252+G1249</f>
        <v>14377921953</v>
      </c>
      <c r="H1290" s="491">
        <f>H1289+H1285+H1280+H1276+H1270+H1273+H1267+H1255+H1252+H1249</f>
        <v>9360087999.557</v>
      </c>
      <c r="J1290" s="158"/>
    </row>
    <row r="1291" spans="1:10" ht="30" customHeight="1">
      <c r="A1291" s="165" t="s">
        <v>167</v>
      </c>
      <c r="B1291" s="417" t="s">
        <v>202</v>
      </c>
      <c r="F1291" s="491">
        <f>F1290+F1228+F1129+F1020+F879+F775+F687+F645+F538+F403+F289+F193+F73+F57+F33</f>
        <v>56852708404.55001</v>
      </c>
      <c r="G1291" s="491">
        <f>G1290+G1228+G1129+G1020+G879+G775+G687+G645+G538+G403+G289+G193+G73+G57+G33</f>
        <v>47642062502.619995</v>
      </c>
      <c r="H1291" s="491">
        <f>H1290+H1228+H1129+H1020+H879+H775+H687+H645+H538+H403+H289+H193+H73+H57+H33</f>
        <v>56528503190.310005</v>
      </c>
      <c r="J1291" s="158"/>
    </row>
    <row r="1292" spans="1:9" ht="30" customHeight="1">
      <c r="A1292" s="165"/>
      <c r="F1292" s="167"/>
      <c r="G1292" s="528"/>
      <c r="I1292" s="158"/>
    </row>
    <row r="1293" spans="1:8" ht="30" customHeight="1">
      <c r="A1293" s="165"/>
      <c r="F1293" s="167"/>
      <c r="G1293" s="528"/>
      <c r="H1293" s="634">
        <f>G289/G1291*100</f>
        <v>2.990893628275725</v>
      </c>
    </row>
    <row r="1294" spans="1:8" ht="30" customHeight="1">
      <c r="A1294" s="165"/>
      <c r="H1294" s="158"/>
    </row>
    <row r="1295" ht="30" customHeight="1">
      <c r="A1295" s="165"/>
    </row>
    <row r="1296" ht="30" customHeight="1">
      <c r="D1296" s="170"/>
    </row>
    <row r="1297" spans="6:7" ht="30" customHeight="1">
      <c r="F1297" s="158"/>
      <c r="G1297" s="158"/>
    </row>
    <row r="1298" spans="6:10" ht="30" customHeight="1">
      <c r="F1298" s="158"/>
      <c r="G1298" s="158"/>
      <c r="J1298" s="158"/>
    </row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</sheetData>
  <sheetProtection/>
  <autoFilter ref="A3:H1293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3"/>
  <headerFooter>
    <oddHeader>&amp;CCOMPTE ADMINISTRATIF DE L'
EXERCICE BUDGETAIRE 2017</oddHeader>
    <oddFooter>&amp;CCLASSIFICATION ADMINISTRATIVE ET FONCTIONNEL</oddFooter>
  </headerFooter>
  <rowBreaks count="16" manualBreakCount="16">
    <brk id="33" max="255" man="1"/>
    <brk id="57" max="255" man="1"/>
    <brk id="73" max="255" man="1"/>
    <brk id="193" max="255" man="1"/>
    <brk id="289" max="255" man="1"/>
    <brk id="403" max="255" man="1"/>
    <brk id="538" max="255" man="1"/>
    <brk id="645" max="255" man="1"/>
    <brk id="687" max="255" man="1"/>
    <brk id="775" max="255" man="1"/>
    <brk id="879" max="255" man="1"/>
    <brk id="961" max="6" man="1"/>
    <brk id="1020" max="255" man="1"/>
    <brk id="1129" max="255" man="1"/>
    <brk id="1228" max="255" man="1"/>
    <brk id="129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51"/>
  <sheetViews>
    <sheetView workbookViewId="0" topLeftCell="A1">
      <pane ySplit="4" topLeftCell="A76" activePane="bottomLeft" state="frozen"/>
      <selection pane="topLeft" activeCell="A1" sqref="A1"/>
      <selection pane="bottomLeft" activeCell="D92" sqref="D92"/>
    </sheetView>
  </sheetViews>
  <sheetFormatPr defaultColWidth="11.421875" defaultRowHeight="15"/>
  <cols>
    <col min="2" max="2" width="23.28125" style="0" customWidth="1"/>
    <col min="3" max="3" width="38.28125" style="0" customWidth="1"/>
    <col min="4" max="4" width="23.7109375" style="0" customWidth="1"/>
    <col min="5" max="5" width="17.7109375" style="0" customWidth="1"/>
    <col min="6" max="7" width="18.00390625" style="0" customWidth="1"/>
    <col min="8" max="8" width="19.00390625" style="0" bestFit="1" customWidth="1"/>
    <col min="9" max="9" width="13.7109375" style="0" customWidth="1"/>
  </cols>
  <sheetData>
    <row r="1" spans="1:5" ht="15">
      <c r="A1" s="660"/>
      <c r="B1" s="660"/>
      <c r="C1" s="660"/>
      <c r="D1" s="660"/>
      <c r="E1" s="660"/>
    </row>
    <row r="2" ht="15">
      <c r="E2" s="6"/>
    </row>
    <row r="3" spans="1:5" ht="15">
      <c r="A3" s="8"/>
      <c r="B3" s="8"/>
      <c r="C3" s="8"/>
      <c r="D3" s="8"/>
      <c r="E3" s="7"/>
    </row>
    <row r="4" spans="1:8" ht="15.75" thickBot="1">
      <c r="A4" s="9" t="s">
        <v>189</v>
      </c>
      <c r="B4" s="9" t="s">
        <v>0</v>
      </c>
      <c r="C4" s="9" t="s">
        <v>190</v>
      </c>
      <c r="D4" s="10" t="s">
        <v>664</v>
      </c>
      <c r="E4" s="10" t="s">
        <v>699</v>
      </c>
      <c r="F4" s="199" t="s">
        <v>665</v>
      </c>
      <c r="G4" s="603" t="s">
        <v>700</v>
      </c>
      <c r="H4" s="604" t="s">
        <v>698</v>
      </c>
    </row>
    <row r="5" spans="1:6" ht="16.5" thickTop="1">
      <c r="A5" s="11" t="s">
        <v>4</v>
      </c>
      <c r="B5" s="26" t="s">
        <v>512</v>
      </c>
      <c r="C5" s="12"/>
      <c r="D5" s="13"/>
      <c r="E5" s="12"/>
      <c r="F5" s="12"/>
    </row>
    <row r="6" spans="1:9" ht="15.75">
      <c r="A6" s="14" t="s">
        <v>4</v>
      </c>
      <c r="B6" s="34">
        <v>6611</v>
      </c>
      <c r="C6" s="16" t="s">
        <v>6</v>
      </c>
      <c r="D6" s="17">
        <f>'prévision 2017'!G6+'prévision 2017'!G7</f>
        <v>640038648</v>
      </c>
      <c r="E6" s="17">
        <f>'prévision 2017'!H6+'prévision 2017'!H7</f>
        <v>655271508.99</v>
      </c>
      <c r="F6" s="17">
        <f>'prévision 2017'!I6+'prévision 2017'!I7</f>
        <v>674806914</v>
      </c>
      <c r="G6" s="17">
        <f>'prévision 2017'!J6+'prévision 2017'!J7</f>
        <v>0</v>
      </c>
      <c r="H6" s="46">
        <f>F6+G6</f>
        <v>674806914</v>
      </c>
      <c r="I6" s="1">
        <f>H6-E6</f>
        <v>19535405.00999999</v>
      </c>
    </row>
    <row r="7" spans="1:9" ht="15.75">
      <c r="A7" s="18" t="s">
        <v>4</v>
      </c>
      <c r="B7" s="19" t="s">
        <v>192</v>
      </c>
      <c r="C7" s="20"/>
      <c r="D7" s="21">
        <f>SUBTOTAL(109,D6:D6)</f>
        <v>640038648</v>
      </c>
      <c r="E7" s="21">
        <f>SUBTOTAL(109,E6:E6)</f>
        <v>655271508.99</v>
      </c>
      <c r="F7" s="21">
        <f>SUBTOTAL(109,F6:F6)</f>
        <v>674806914</v>
      </c>
      <c r="G7" s="21">
        <f>SUBTOTAL(109,G6:G6)</f>
        <v>0</v>
      </c>
      <c r="H7" s="21">
        <f>SUBTOTAL(109,H6:H6)</f>
        <v>674806914</v>
      </c>
      <c r="I7" s="1">
        <f aca="true" t="shared" si="0" ref="I7:I70">H7-E7</f>
        <v>19535405.00999999</v>
      </c>
    </row>
    <row r="8" spans="1:9" ht="15.75">
      <c r="A8" s="14" t="s">
        <v>4</v>
      </c>
      <c r="B8" s="185">
        <v>6041</v>
      </c>
      <c r="C8" s="14" t="s">
        <v>170</v>
      </c>
      <c r="D8" s="17">
        <f>'prévision 2017'!G10</f>
        <v>96000000</v>
      </c>
      <c r="E8" s="17">
        <f>'prévision 2017'!H10</f>
        <v>96000000</v>
      </c>
      <c r="F8" s="17">
        <f>'prévision 2017'!I10</f>
        <v>96000000</v>
      </c>
      <c r="G8" s="17">
        <f>'prévision 2017'!J10</f>
        <v>0</v>
      </c>
      <c r="H8" s="46">
        <f>F8+G8</f>
        <v>96000000</v>
      </c>
      <c r="I8" s="1">
        <f t="shared" si="0"/>
        <v>0</v>
      </c>
    </row>
    <row r="9" spans="1:9" ht="15.75">
      <c r="A9" s="18" t="s">
        <v>4</v>
      </c>
      <c r="B9" s="185">
        <v>6052</v>
      </c>
      <c r="C9" s="14" t="s">
        <v>598</v>
      </c>
      <c r="D9" s="17">
        <f>'prévision 2017'!G16</f>
        <v>0</v>
      </c>
      <c r="E9" s="17">
        <f>'prévision 2017'!H16</f>
        <v>0</v>
      </c>
      <c r="F9" s="17">
        <f>'prévision 2017'!I16</f>
        <v>0</v>
      </c>
      <c r="G9" s="17">
        <f>'prévision 2017'!J16</f>
        <v>0</v>
      </c>
      <c r="H9" s="46">
        <f aca="true" t="shared" si="1" ref="H9:H72">F9+G9</f>
        <v>0</v>
      </c>
      <c r="I9" s="1">
        <f t="shared" si="0"/>
        <v>0</v>
      </c>
    </row>
    <row r="10" spans="1:9" ht="15.75">
      <c r="A10" s="14" t="s">
        <v>4</v>
      </c>
      <c r="B10" s="185">
        <v>60100</v>
      </c>
      <c r="C10" s="14" t="s">
        <v>7</v>
      </c>
      <c r="D10" s="17">
        <f>'prévision 2017'!G8</f>
        <v>8000000</v>
      </c>
      <c r="E10" s="17">
        <f>'prévision 2017'!H8</f>
        <v>8000000</v>
      </c>
      <c r="F10" s="17">
        <f>'prévision 2017'!I8</f>
        <v>8000000</v>
      </c>
      <c r="G10" s="17">
        <f>'prévision 2017'!J8</f>
        <v>0</v>
      </c>
      <c r="H10" s="46">
        <f t="shared" si="1"/>
        <v>8000000</v>
      </c>
      <c r="I10" s="1">
        <f t="shared" si="0"/>
        <v>0</v>
      </c>
    </row>
    <row r="11" spans="1:9" ht="15.75">
      <c r="A11" s="18" t="s">
        <v>4</v>
      </c>
      <c r="B11" s="185">
        <v>60101</v>
      </c>
      <c r="C11" s="14" t="s">
        <v>255</v>
      </c>
      <c r="D11" s="17">
        <f>'prévision 2017'!G9</f>
        <v>6500000</v>
      </c>
      <c r="E11" s="17">
        <f>'prévision 2017'!H9</f>
        <v>6500000</v>
      </c>
      <c r="F11" s="17">
        <f>'prévision 2017'!I9</f>
        <v>6500000</v>
      </c>
      <c r="G11" s="17">
        <f>'prévision 2017'!J9</f>
        <v>0</v>
      </c>
      <c r="H11" s="46">
        <f t="shared" si="1"/>
        <v>6500000</v>
      </c>
      <c r="I11" s="1">
        <f t="shared" si="0"/>
        <v>0</v>
      </c>
    </row>
    <row r="12" spans="1:9" ht="15.75">
      <c r="A12" s="14" t="s">
        <v>4</v>
      </c>
      <c r="B12" s="185">
        <v>6111</v>
      </c>
      <c r="C12" s="14" t="s">
        <v>11</v>
      </c>
      <c r="D12" s="17">
        <f>'prévision 2017'!G20</f>
        <v>144000000</v>
      </c>
      <c r="E12" s="17">
        <f>'prévision 2017'!H20</f>
        <v>144000000</v>
      </c>
      <c r="F12" s="17">
        <f>'prévision 2017'!I20</f>
        <v>144000000</v>
      </c>
      <c r="G12" s="17">
        <f>'prévision 2017'!J20</f>
        <v>0</v>
      </c>
      <c r="H12" s="46">
        <f t="shared" si="1"/>
        <v>144000000</v>
      </c>
      <c r="I12" s="1">
        <f t="shared" si="0"/>
        <v>0</v>
      </c>
    </row>
    <row r="13" spans="1:9" ht="15.75">
      <c r="A13" s="18" t="s">
        <v>4</v>
      </c>
      <c r="B13" s="185">
        <v>6112</v>
      </c>
      <c r="C13" s="14" t="s">
        <v>12</v>
      </c>
      <c r="D13" s="17">
        <f>'prévision 2017'!G21</f>
        <v>15000000</v>
      </c>
      <c r="E13" s="17">
        <f>'prévision 2017'!H21</f>
        <v>15000000</v>
      </c>
      <c r="F13" s="17">
        <f>'prévision 2017'!I21</f>
        <v>15000000</v>
      </c>
      <c r="G13" s="17">
        <f>'prévision 2017'!J21</f>
        <v>0</v>
      </c>
      <c r="H13" s="46">
        <f t="shared" si="1"/>
        <v>15000000</v>
      </c>
      <c r="I13" s="1">
        <f t="shared" si="0"/>
        <v>0</v>
      </c>
    </row>
    <row r="14" spans="1:9" ht="15.75">
      <c r="A14" s="14" t="s">
        <v>4</v>
      </c>
      <c r="B14" s="185">
        <v>6122</v>
      </c>
      <c r="C14" s="14" t="s">
        <v>582</v>
      </c>
      <c r="D14" s="17">
        <f>'prévision 2017'!G12</f>
        <v>15250000</v>
      </c>
      <c r="E14" s="17">
        <f>'prévision 2017'!H12</f>
        <v>15250000</v>
      </c>
      <c r="F14" s="17">
        <f>'prévision 2017'!I12</f>
        <v>15250000</v>
      </c>
      <c r="G14" s="17">
        <f>'prévision 2017'!J12</f>
        <v>0</v>
      </c>
      <c r="H14" s="46">
        <f t="shared" si="1"/>
        <v>15250000</v>
      </c>
      <c r="I14" s="1">
        <f t="shared" si="0"/>
        <v>0</v>
      </c>
    </row>
    <row r="15" spans="1:9" ht="15.75">
      <c r="A15" s="18" t="s">
        <v>4</v>
      </c>
      <c r="B15" s="186">
        <v>6133</v>
      </c>
      <c r="C15" s="14" t="s">
        <v>9</v>
      </c>
      <c r="D15" s="17">
        <f>'prévision 2017'!G13</f>
        <v>12000000</v>
      </c>
      <c r="E15" s="17">
        <f>'prévision 2017'!H13</f>
        <v>12000000</v>
      </c>
      <c r="F15" s="17">
        <f>'prévision 2017'!I13</f>
        <v>12000000</v>
      </c>
      <c r="G15" s="17">
        <f>'prévision 2017'!J13</f>
        <v>0</v>
      </c>
      <c r="H15" s="46">
        <f t="shared" si="1"/>
        <v>12000000</v>
      </c>
      <c r="I15" s="1">
        <f t="shared" si="0"/>
        <v>0</v>
      </c>
    </row>
    <row r="16" spans="1:9" ht="15.75">
      <c r="A16" s="14" t="s">
        <v>4</v>
      </c>
      <c r="B16" s="185">
        <v>6152</v>
      </c>
      <c r="C16" s="14" t="s">
        <v>256</v>
      </c>
      <c r="D16" s="17">
        <f>'prévision 2017'!G17</f>
        <v>7500000</v>
      </c>
      <c r="E16" s="17">
        <f>'prévision 2017'!H17</f>
        <v>7500000</v>
      </c>
      <c r="F16" s="17">
        <f>'prévision 2017'!I17</f>
        <v>7500000</v>
      </c>
      <c r="G16" s="17">
        <f>'prévision 2017'!J17</f>
        <v>0</v>
      </c>
      <c r="H16" s="46">
        <f t="shared" si="1"/>
        <v>7500000</v>
      </c>
      <c r="I16" s="1">
        <f t="shared" si="0"/>
        <v>0</v>
      </c>
    </row>
    <row r="17" spans="1:9" ht="15.75">
      <c r="A17" s="18" t="s">
        <v>4</v>
      </c>
      <c r="B17" s="186">
        <v>6161</v>
      </c>
      <c r="C17" s="14" t="s">
        <v>257</v>
      </c>
      <c r="D17" s="17">
        <f>'prévision 2017'!G18</f>
        <v>100000000</v>
      </c>
      <c r="E17" s="17">
        <f>'prévision 2017'!H18</f>
        <v>100000000</v>
      </c>
      <c r="F17" s="17">
        <f>'prévision 2017'!I18</f>
        <v>100000000</v>
      </c>
      <c r="G17" s="17">
        <f>'prévision 2017'!J18</f>
        <v>30000000</v>
      </c>
      <c r="H17" s="46">
        <f t="shared" si="1"/>
        <v>130000000</v>
      </c>
      <c r="I17" s="1">
        <f t="shared" si="0"/>
        <v>30000000</v>
      </c>
    </row>
    <row r="18" spans="1:9" ht="15.75">
      <c r="A18" s="14" t="s">
        <v>4</v>
      </c>
      <c r="B18" s="186">
        <v>6175</v>
      </c>
      <c r="C18" s="14" t="s">
        <v>13</v>
      </c>
      <c r="D18" s="17">
        <f>'prévision 2017'!G24</f>
        <v>10000000</v>
      </c>
      <c r="E18" s="17">
        <f>'prévision 2017'!H24</f>
        <v>10000000</v>
      </c>
      <c r="F18" s="17">
        <f>'prévision 2017'!I24</f>
        <v>10000000</v>
      </c>
      <c r="G18" s="17">
        <f>'prévision 2017'!J24</f>
        <v>0</v>
      </c>
      <c r="H18" s="46">
        <f t="shared" si="1"/>
        <v>10000000</v>
      </c>
      <c r="I18" s="1">
        <f t="shared" si="0"/>
        <v>0</v>
      </c>
    </row>
    <row r="19" spans="1:10" ht="15.75">
      <c r="A19" s="14" t="s">
        <v>4</v>
      </c>
      <c r="B19" s="34">
        <v>6173</v>
      </c>
      <c r="C19" s="14" t="s">
        <v>16</v>
      </c>
      <c r="D19" s="17">
        <f>'prévision 2017'!G23</f>
        <v>0</v>
      </c>
      <c r="E19" s="17">
        <f>'prévision 2017'!H23</f>
        <v>0</v>
      </c>
      <c r="F19" s="17">
        <f>'prévision 2017'!I23</f>
        <v>0</v>
      </c>
      <c r="G19" s="17">
        <f>'prévision 2017'!J23</f>
        <v>0</v>
      </c>
      <c r="H19" s="46">
        <f t="shared" si="1"/>
        <v>0</v>
      </c>
      <c r="I19" s="1">
        <f t="shared" si="0"/>
        <v>0</v>
      </c>
      <c r="J19" s="2"/>
    </row>
    <row r="20" spans="1:9" ht="15.75">
      <c r="A20" s="18" t="s">
        <v>4</v>
      </c>
      <c r="B20" s="19" t="s">
        <v>191</v>
      </c>
      <c r="C20" s="14"/>
      <c r="D20" s="24">
        <f>SUBTOTAL(109,D8:D19)</f>
        <v>414250000</v>
      </c>
      <c r="E20" s="24">
        <f>SUBTOTAL(109,E8:E19)</f>
        <v>414250000</v>
      </c>
      <c r="F20" s="24">
        <f>SUBTOTAL(109,F8:F19)</f>
        <v>414250000</v>
      </c>
      <c r="G20" s="24">
        <f>SUBTOTAL(109,G8:G19)</f>
        <v>30000000</v>
      </c>
      <c r="H20" s="24">
        <f>SUBTOTAL(109,H8:H19)</f>
        <v>444250000</v>
      </c>
      <c r="I20" s="1">
        <f t="shared" si="0"/>
        <v>30000000</v>
      </c>
    </row>
    <row r="21" spans="1:9" ht="15.75">
      <c r="A21" s="14" t="s">
        <v>4</v>
      </c>
      <c r="B21" s="34">
        <v>6433</v>
      </c>
      <c r="C21" s="14" t="s">
        <v>14</v>
      </c>
      <c r="D21" s="17">
        <f>'prévision 2017'!G25</f>
        <v>20000000</v>
      </c>
      <c r="E21" s="17">
        <f>'prévision 2017'!H25</f>
        <v>20000000</v>
      </c>
      <c r="F21" s="17">
        <f>'prévision 2017'!I25</f>
        <v>39563000</v>
      </c>
      <c r="G21" s="17">
        <f>'prévision 2017'!J25</f>
        <v>0</v>
      </c>
      <c r="H21" s="46">
        <f t="shared" si="1"/>
        <v>39563000</v>
      </c>
      <c r="I21" s="1">
        <f t="shared" si="0"/>
        <v>19563000</v>
      </c>
    </row>
    <row r="22" spans="1:9" ht="15.75">
      <c r="A22" s="18" t="s">
        <v>4</v>
      </c>
      <c r="B22" s="44">
        <v>6452</v>
      </c>
      <c r="C22" s="14" t="s">
        <v>15</v>
      </c>
      <c r="D22" s="17">
        <f>'prévision 2017'!G26</f>
        <v>12500000</v>
      </c>
      <c r="E22" s="17">
        <f>'prévision 2017'!H26</f>
        <v>12500000</v>
      </c>
      <c r="F22" s="17">
        <f>'prévision 2017'!I26</f>
        <v>12500000</v>
      </c>
      <c r="G22" s="17">
        <f>'prévision 2017'!J26</f>
        <v>0</v>
      </c>
      <c r="H22" s="46">
        <f t="shared" si="1"/>
        <v>12500000</v>
      </c>
      <c r="I22" s="1">
        <f t="shared" si="0"/>
        <v>0</v>
      </c>
    </row>
    <row r="23" spans="1:9" ht="15.75">
      <c r="A23" s="14" t="s">
        <v>4</v>
      </c>
      <c r="B23" s="23" t="s">
        <v>193</v>
      </c>
      <c r="C23" s="14"/>
      <c r="D23" s="24">
        <f>SUBTOTAL(109,D21:D22)</f>
        <v>32500000</v>
      </c>
      <c r="E23" s="24">
        <f>SUBTOTAL(109,E21:E22)</f>
        <v>32500000</v>
      </c>
      <c r="F23" s="24">
        <f>SUBTOTAL(109,F21:F22)</f>
        <v>52063000</v>
      </c>
      <c r="G23" s="24">
        <f>SUBTOTAL(109,G21:G22)</f>
        <v>0</v>
      </c>
      <c r="H23" s="24">
        <f>SUBTOTAL(109,H21:H22)</f>
        <v>52063000</v>
      </c>
      <c r="I23" s="1">
        <f t="shared" si="0"/>
        <v>19563000</v>
      </c>
    </row>
    <row r="24" spans="1:9" ht="15.75">
      <c r="A24" s="14" t="s">
        <v>4</v>
      </c>
      <c r="B24" s="200">
        <v>2128</v>
      </c>
      <c r="C24" s="14" t="s">
        <v>301</v>
      </c>
      <c r="D24" s="17">
        <f>'prévision 2017'!G27</f>
        <v>67000000</v>
      </c>
      <c r="E24" s="17">
        <f>'prévision 2017'!H27</f>
        <v>67000000</v>
      </c>
      <c r="F24" s="17">
        <f>'prévision 2017'!I27</f>
        <v>67000000</v>
      </c>
      <c r="G24" s="17">
        <f>'prévision 2017'!J27</f>
        <v>0</v>
      </c>
      <c r="H24" s="46">
        <f t="shared" si="1"/>
        <v>67000000</v>
      </c>
      <c r="I24" s="1">
        <f t="shared" si="0"/>
        <v>0</v>
      </c>
    </row>
    <row r="25" spans="1:9" ht="15.75">
      <c r="A25" s="14" t="s">
        <v>4</v>
      </c>
      <c r="B25" s="197">
        <v>2161</v>
      </c>
      <c r="C25" s="14" t="s">
        <v>286</v>
      </c>
      <c r="D25" s="17">
        <f>'prévision 2017'!G32</f>
        <v>1000000</v>
      </c>
      <c r="E25" s="17">
        <f>'prévision 2017'!H32</f>
        <v>1000000</v>
      </c>
      <c r="F25" s="17">
        <f>'prévision 2017'!I32</f>
        <v>1000000</v>
      </c>
      <c r="G25" s="17">
        <f>'prévision 2017'!J32</f>
        <v>0</v>
      </c>
      <c r="H25" s="46">
        <f t="shared" si="1"/>
        <v>1000000</v>
      </c>
      <c r="I25" s="1">
        <f t="shared" si="0"/>
        <v>0</v>
      </c>
    </row>
    <row r="26" spans="1:9" ht="15.75">
      <c r="A26" s="14" t="s">
        <v>4</v>
      </c>
      <c r="B26" s="186">
        <v>2164</v>
      </c>
      <c r="C26" s="14" t="s">
        <v>583</v>
      </c>
      <c r="D26" s="17">
        <f>'prévision 2017'!G28</f>
        <v>7000000</v>
      </c>
      <c r="E26" s="17">
        <f>'prévision 2017'!H28</f>
        <v>7000000</v>
      </c>
      <c r="F26" s="17">
        <f>'prévision 2017'!I28</f>
        <v>7000000</v>
      </c>
      <c r="G26" s="17">
        <f>'prévision 2017'!J28</f>
        <v>0</v>
      </c>
      <c r="H26" s="46">
        <f t="shared" si="1"/>
        <v>7000000</v>
      </c>
      <c r="I26" s="1">
        <f t="shared" si="0"/>
        <v>0</v>
      </c>
    </row>
    <row r="27" spans="1:9" ht="15.75">
      <c r="A27" s="14" t="s">
        <v>4</v>
      </c>
      <c r="B27" s="23" t="s">
        <v>194</v>
      </c>
      <c r="C27" s="14"/>
      <c r="D27" s="24">
        <f>SUM(D24:D26)</f>
        <v>75000000</v>
      </c>
      <c r="E27" s="24">
        <f>SUM(E24:E26)</f>
        <v>75000000</v>
      </c>
      <c r="F27" s="24">
        <f>SUM(F24:F26)</f>
        <v>75000000</v>
      </c>
      <c r="G27" s="24">
        <f>SUM(G24:G26)</f>
        <v>0</v>
      </c>
      <c r="H27" s="46">
        <f t="shared" si="1"/>
        <v>75000000</v>
      </c>
      <c r="I27" s="1">
        <f t="shared" si="0"/>
        <v>0</v>
      </c>
    </row>
    <row r="28" spans="1:9" ht="15.75">
      <c r="A28" s="18" t="s">
        <v>4</v>
      </c>
      <c r="B28" s="25" t="s">
        <v>618</v>
      </c>
      <c r="C28" s="14"/>
      <c r="D28" s="24">
        <f>D23+D20+D7+D27</f>
        <v>1161788648</v>
      </c>
      <c r="E28" s="24">
        <f>E23+E20+E7+E27</f>
        <v>1177021508.99</v>
      </c>
      <c r="F28" s="24">
        <f>F27+F23+F20+F7</f>
        <v>1216119914</v>
      </c>
      <c r="G28" s="24">
        <f>G27+G23+G20+G7</f>
        <v>30000000</v>
      </c>
      <c r="H28" s="24">
        <f>H27+H23+H20+H7</f>
        <v>1246119914</v>
      </c>
      <c r="I28" s="1">
        <f t="shared" si="0"/>
        <v>69098405.00999999</v>
      </c>
    </row>
    <row r="29" spans="1:9" ht="15.75">
      <c r="A29" s="14" t="s">
        <v>17</v>
      </c>
      <c r="B29" s="26" t="s">
        <v>18</v>
      </c>
      <c r="C29" s="14"/>
      <c r="D29" s="17"/>
      <c r="E29" s="17"/>
      <c r="F29" s="17"/>
      <c r="H29" s="46"/>
      <c r="I29" s="1">
        <f t="shared" si="0"/>
        <v>0</v>
      </c>
    </row>
    <row r="30" spans="1:9" ht="15.75">
      <c r="A30" s="18" t="s">
        <v>17</v>
      </c>
      <c r="B30" s="35">
        <v>6611</v>
      </c>
      <c r="C30" s="14" t="s">
        <v>6</v>
      </c>
      <c r="D30" s="17">
        <f>'prévision 2017'!G36</f>
        <v>207955188</v>
      </c>
      <c r="E30" s="17">
        <f>'prévision 2017'!H36</f>
        <v>168878921.3</v>
      </c>
      <c r="F30" s="17">
        <f>'prévision 2017'!I36</f>
        <v>207955188</v>
      </c>
      <c r="G30" s="17">
        <f>'prévision 2017'!J36</f>
        <v>-18000000</v>
      </c>
      <c r="H30" s="46">
        <f t="shared" si="1"/>
        <v>189955188</v>
      </c>
      <c r="I30" s="1">
        <f t="shared" si="0"/>
        <v>21076266.699999988</v>
      </c>
    </row>
    <row r="31" spans="1:9" ht="15.75">
      <c r="A31" s="14" t="s">
        <v>17</v>
      </c>
      <c r="B31" s="23" t="s">
        <v>192</v>
      </c>
      <c r="C31" s="14"/>
      <c r="D31" s="24">
        <f>SUBTOTAL(109,D30:D30)</f>
        <v>207955188</v>
      </c>
      <c r="E31" s="24">
        <f>SUBTOTAL(109,E30:E30)</f>
        <v>168878921.3</v>
      </c>
      <c r="F31" s="24">
        <f>SUBTOTAL(109,F30:F30)</f>
        <v>207955188</v>
      </c>
      <c r="G31" s="24">
        <f>SUBTOTAL(109,G30:G30)</f>
        <v>-18000000</v>
      </c>
      <c r="H31" s="24">
        <f>SUBTOTAL(109,H30:H30)</f>
        <v>189955188</v>
      </c>
      <c r="I31" s="1">
        <f t="shared" si="0"/>
        <v>21076266.699999988</v>
      </c>
    </row>
    <row r="32" spans="1:9" ht="15.75">
      <c r="A32" s="18" t="s">
        <v>17</v>
      </c>
      <c r="B32" s="185">
        <v>60100</v>
      </c>
      <c r="C32" s="14" t="s">
        <v>7</v>
      </c>
      <c r="D32" s="17">
        <f>'prévision 2017'!G37</f>
        <v>5929733</v>
      </c>
      <c r="E32" s="17">
        <f>'prévision 2017'!H37</f>
        <v>5929733</v>
      </c>
      <c r="F32" s="17">
        <f>'prévision 2017'!I37</f>
        <v>5929733</v>
      </c>
      <c r="G32" s="17">
        <f>'prévision 2017'!J37</f>
        <v>0</v>
      </c>
      <c r="H32" s="46">
        <f t="shared" si="1"/>
        <v>5929733</v>
      </c>
      <c r="I32" s="1">
        <f t="shared" si="0"/>
        <v>0</v>
      </c>
    </row>
    <row r="33" spans="1:9" ht="15.75">
      <c r="A33" s="14" t="s">
        <v>17</v>
      </c>
      <c r="B33" s="185">
        <v>60101</v>
      </c>
      <c r="C33" s="14" t="s">
        <v>255</v>
      </c>
      <c r="D33" s="17">
        <f>'prévision 2017'!G38</f>
        <v>4500000</v>
      </c>
      <c r="E33" s="17">
        <f>'prévision 2017'!H38</f>
        <v>4500000</v>
      </c>
      <c r="F33" s="17">
        <f>'prévision 2017'!I38</f>
        <v>4500000</v>
      </c>
      <c r="G33" s="17">
        <f>'prévision 2017'!J38</f>
        <v>0</v>
      </c>
      <c r="H33" s="46">
        <f t="shared" si="1"/>
        <v>4500000</v>
      </c>
      <c r="I33" s="1">
        <f t="shared" si="0"/>
        <v>0</v>
      </c>
    </row>
    <row r="34" spans="1:9" ht="15.75">
      <c r="A34" s="18" t="s">
        <v>17</v>
      </c>
      <c r="B34" s="185">
        <v>6111</v>
      </c>
      <c r="C34" s="14" t="s">
        <v>11</v>
      </c>
      <c r="D34" s="17">
        <f>'prévision 2017'!G44</f>
        <v>0</v>
      </c>
      <c r="E34" s="17">
        <f>'prévision 2017'!H44</f>
        <v>0</v>
      </c>
      <c r="F34" s="17">
        <f>'prévision 2017'!I44</f>
        <v>0</v>
      </c>
      <c r="G34" s="17">
        <f>'prévision 2017'!J44</f>
        <v>0</v>
      </c>
      <c r="H34" s="46">
        <f t="shared" si="1"/>
        <v>0</v>
      </c>
      <c r="I34" s="1">
        <f t="shared" si="0"/>
        <v>0</v>
      </c>
    </row>
    <row r="35" spans="1:9" ht="15.75">
      <c r="A35" s="14" t="s">
        <v>17</v>
      </c>
      <c r="B35" s="185">
        <v>6112</v>
      </c>
      <c r="C35" s="14" t="s">
        <v>12</v>
      </c>
      <c r="D35" s="17">
        <f>'prévision 2017'!G45</f>
        <v>7500000</v>
      </c>
      <c r="E35" s="17">
        <f>'prévision 2017'!H45</f>
        <v>7500000</v>
      </c>
      <c r="F35" s="17">
        <f>'prévision 2017'!I45</f>
        <v>7500000</v>
      </c>
      <c r="G35" s="17">
        <f>'prévision 2017'!J45</f>
        <v>0</v>
      </c>
      <c r="H35" s="46">
        <f t="shared" si="1"/>
        <v>7500000</v>
      </c>
      <c r="I35" s="1">
        <f t="shared" si="0"/>
        <v>0</v>
      </c>
    </row>
    <row r="36" spans="1:9" ht="15.75">
      <c r="A36" s="18" t="s">
        <v>17</v>
      </c>
      <c r="B36" s="185">
        <v>6122</v>
      </c>
      <c r="C36" s="14" t="s">
        <v>582</v>
      </c>
      <c r="D36" s="17">
        <f>'prévision 2017'!G41</f>
        <v>5500000</v>
      </c>
      <c r="E36" s="17">
        <f>'prévision 2017'!H41</f>
        <v>5500000</v>
      </c>
      <c r="F36" s="17">
        <f>'prévision 2017'!I41</f>
        <v>5500000</v>
      </c>
      <c r="G36" s="17">
        <f>'prévision 2017'!J41</f>
        <v>0</v>
      </c>
      <c r="H36" s="46">
        <f t="shared" si="1"/>
        <v>5500000</v>
      </c>
      <c r="I36" s="1">
        <f t="shared" si="0"/>
        <v>0</v>
      </c>
    </row>
    <row r="37" spans="1:9" ht="15.75">
      <c r="A37" s="14" t="s">
        <v>17</v>
      </c>
      <c r="B37" s="186">
        <v>6133</v>
      </c>
      <c r="C37" s="14" t="s">
        <v>9</v>
      </c>
      <c r="D37" s="17">
        <f>'prévision 2017'!G42</f>
        <v>6500000</v>
      </c>
      <c r="E37" s="17">
        <f>'prévision 2017'!H42</f>
        <v>6500000</v>
      </c>
      <c r="F37" s="17">
        <f>'prévision 2017'!I42</f>
        <v>6500000</v>
      </c>
      <c r="G37" s="17">
        <f>'prévision 2017'!J42</f>
        <v>0</v>
      </c>
      <c r="H37" s="46">
        <f t="shared" si="1"/>
        <v>6500000</v>
      </c>
      <c r="I37" s="1">
        <f t="shared" si="0"/>
        <v>0</v>
      </c>
    </row>
    <row r="38" spans="1:9" ht="15.75">
      <c r="A38" s="18" t="s">
        <v>17</v>
      </c>
      <c r="B38" s="193">
        <v>6161</v>
      </c>
      <c r="C38" s="14" t="s">
        <v>257</v>
      </c>
      <c r="D38" s="17">
        <f>'prévision 2017'!G46</f>
        <v>24000000</v>
      </c>
      <c r="E38" s="17">
        <f>'prévision 2017'!H46</f>
        <v>24000000</v>
      </c>
      <c r="F38" s="17">
        <f>'prévision 2017'!I46</f>
        <v>24000000</v>
      </c>
      <c r="G38" s="17">
        <f>'prévision 2017'!J46</f>
        <v>0</v>
      </c>
      <c r="H38" s="46">
        <f t="shared" si="1"/>
        <v>24000000</v>
      </c>
      <c r="I38" s="1">
        <f t="shared" si="0"/>
        <v>0</v>
      </c>
    </row>
    <row r="39" spans="1:9" ht="15.75">
      <c r="A39" s="14" t="s">
        <v>17</v>
      </c>
      <c r="B39" s="186">
        <v>6175</v>
      </c>
      <c r="C39" s="14" t="s">
        <v>13</v>
      </c>
      <c r="D39" s="17">
        <f>'prévision 2017'!G49</f>
        <v>1500000</v>
      </c>
      <c r="E39" s="17">
        <f>'prévision 2017'!H49</f>
        <v>1500000</v>
      </c>
      <c r="F39" s="17">
        <f>'prévision 2017'!I49</f>
        <v>1500000</v>
      </c>
      <c r="G39" s="17">
        <f>'prévision 2017'!J49</f>
        <v>0</v>
      </c>
      <c r="H39" s="46">
        <f t="shared" si="1"/>
        <v>1500000</v>
      </c>
      <c r="I39" s="1">
        <f t="shared" si="0"/>
        <v>0</v>
      </c>
    </row>
    <row r="40" spans="1:9" ht="15.75">
      <c r="A40" s="18" t="s">
        <v>17</v>
      </c>
      <c r="B40" s="35">
        <v>6173</v>
      </c>
      <c r="C40" s="14" t="s">
        <v>19</v>
      </c>
      <c r="D40" s="17">
        <f>'prévision 2017'!G48</f>
        <v>0</v>
      </c>
      <c r="E40" s="17">
        <f>'prévision 2017'!H48</f>
        <v>18000000</v>
      </c>
      <c r="F40" s="17">
        <f>'prévision 2017'!I48</f>
        <v>0</v>
      </c>
      <c r="G40" s="17">
        <f>'prévision 2017'!J48</f>
        <v>18000000</v>
      </c>
      <c r="H40" s="46">
        <f t="shared" si="1"/>
        <v>18000000</v>
      </c>
      <c r="I40" s="1">
        <f t="shared" si="0"/>
        <v>0</v>
      </c>
    </row>
    <row r="41" spans="1:9" ht="15.75">
      <c r="A41" s="14" t="s">
        <v>17</v>
      </c>
      <c r="B41" s="23" t="s">
        <v>191</v>
      </c>
      <c r="C41" s="14"/>
      <c r="D41" s="24">
        <f>SUBTOTAL(109,D32:D40)</f>
        <v>55429733</v>
      </c>
      <c r="E41" s="24">
        <f>SUBTOTAL(109,E32:E40)</f>
        <v>73429733</v>
      </c>
      <c r="F41" s="24">
        <f>SUBTOTAL(109,F32:F40)</f>
        <v>55429733</v>
      </c>
      <c r="G41" s="24">
        <f>SUBTOTAL(109,G32:G40)</f>
        <v>18000000</v>
      </c>
      <c r="H41" s="24">
        <f>SUBTOTAL(109,H32:H40)</f>
        <v>73429733</v>
      </c>
      <c r="I41" s="1">
        <f t="shared" si="0"/>
        <v>0</v>
      </c>
    </row>
    <row r="42" spans="1:9" ht="15.75">
      <c r="A42" s="14" t="s">
        <v>17</v>
      </c>
      <c r="B42" s="34">
        <v>6452</v>
      </c>
      <c r="C42" s="14" t="s">
        <v>15</v>
      </c>
      <c r="D42" s="17">
        <f>'prévision 2017'!G50</f>
        <v>0</v>
      </c>
      <c r="E42" s="17">
        <f>'prévision 2017'!H50</f>
        <v>0</v>
      </c>
      <c r="F42" s="17">
        <f>'prévision 2017'!I50</f>
        <v>0</v>
      </c>
      <c r="G42" s="17">
        <f>'prévision 2017'!J50</f>
        <v>0</v>
      </c>
      <c r="H42" s="46">
        <f t="shared" si="1"/>
        <v>0</v>
      </c>
      <c r="I42" s="1">
        <f t="shared" si="0"/>
        <v>0</v>
      </c>
    </row>
    <row r="43" spans="1:10" ht="15.75">
      <c r="A43" s="14" t="s">
        <v>17</v>
      </c>
      <c r="B43" s="23" t="s">
        <v>193</v>
      </c>
      <c r="C43" s="14"/>
      <c r="D43" s="17">
        <f>SUBTOTAL(109,D42:D42)</f>
        <v>0</v>
      </c>
      <c r="E43" s="17">
        <f>SUBTOTAL(109,E42:E42)</f>
        <v>0</v>
      </c>
      <c r="F43" s="17">
        <f>SUBTOTAL(109,F42:F42)</f>
        <v>0</v>
      </c>
      <c r="G43" s="17">
        <f>SUBTOTAL(109,G42:G42)</f>
        <v>0</v>
      </c>
      <c r="H43" s="46">
        <f t="shared" si="1"/>
        <v>0</v>
      </c>
      <c r="I43" s="1">
        <f t="shared" si="0"/>
        <v>0</v>
      </c>
      <c r="J43" s="3"/>
    </row>
    <row r="44" spans="1:10" ht="15.75">
      <c r="A44" s="18" t="s">
        <v>17</v>
      </c>
      <c r="B44" s="19" t="s">
        <v>618</v>
      </c>
      <c r="C44" s="14"/>
      <c r="D44" s="24">
        <f>D43+D41+D31</f>
        <v>263384921</v>
      </c>
      <c r="E44" s="24">
        <f>E43+E41+E31</f>
        <v>242308654.3</v>
      </c>
      <c r="F44" s="24">
        <f>F43+F41+F31</f>
        <v>263384921</v>
      </c>
      <c r="G44" s="24">
        <f>G43+G41+G31</f>
        <v>0</v>
      </c>
      <c r="H44" s="24">
        <f>H43+H41+H31</f>
        <v>263384921</v>
      </c>
      <c r="I44" s="1">
        <f t="shared" si="0"/>
        <v>21076266.699999988</v>
      </c>
      <c r="J44" s="2"/>
    </row>
    <row r="45" spans="1:9" ht="15.75">
      <c r="A45" s="14" t="s">
        <v>22</v>
      </c>
      <c r="B45" s="25" t="s">
        <v>21</v>
      </c>
      <c r="C45" s="14"/>
      <c r="D45" s="17"/>
      <c r="E45" s="17"/>
      <c r="F45" s="17"/>
      <c r="H45" s="46">
        <f t="shared" si="1"/>
        <v>0</v>
      </c>
      <c r="I45" s="1">
        <f t="shared" si="0"/>
        <v>0</v>
      </c>
    </row>
    <row r="46" spans="1:9" ht="15.75">
      <c r="A46" s="18" t="s">
        <v>22</v>
      </c>
      <c r="B46" s="29">
        <v>6611</v>
      </c>
      <c r="C46" s="14" t="s">
        <v>6</v>
      </c>
      <c r="D46" s="17">
        <f>'prévision 2017'!G61</f>
        <v>121695600</v>
      </c>
      <c r="E46" s="17">
        <f>'prévision 2017'!H61</f>
        <v>136875032.55</v>
      </c>
      <c r="F46" s="17">
        <f>'prévision 2017'!I61</f>
        <v>121695600</v>
      </c>
      <c r="G46" s="17">
        <f>'prévision 2017'!J61</f>
        <v>0</v>
      </c>
      <c r="H46" s="46">
        <f t="shared" si="1"/>
        <v>121695600</v>
      </c>
      <c r="I46" s="1">
        <f t="shared" si="0"/>
        <v>-15179432.550000012</v>
      </c>
    </row>
    <row r="47" spans="1:9" ht="15.75">
      <c r="A47" s="14" t="s">
        <v>22</v>
      </c>
      <c r="B47" s="23" t="s">
        <v>192</v>
      </c>
      <c r="C47" s="14"/>
      <c r="D47" s="24">
        <f>SUBTOTAL(109,D46:D46)</f>
        <v>121695600</v>
      </c>
      <c r="E47" s="24">
        <f>SUBTOTAL(109,E46:E46)</f>
        <v>136875032.55</v>
      </c>
      <c r="F47" s="24">
        <f>SUBTOTAL(109,F46:F46)</f>
        <v>121695600</v>
      </c>
      <c r="G47" s="24">
        <f>SUBTOTAL(109,G46:G46)</f>
        <v>0</v>
      </c>
      <c r="H47" s="24">
        <f>SUBTOTAL(109,H46:H46)</f>
        <v>121695600</v>
      </c>
      <c r="I47" s="1">
        <f t="shared" si="0"/>
        <v>-15179432.550000012</v>
      </c>
    </row>
    <row r="48" spans="1:9" ht="15.75">
      <c r="A48" s="14" t="s">
        <v>22</v>
      </c>
      <c r="B48" s="193">
        <v>6041</v>
      </c>
      <c r="C48" s="14" t="s">
        <v>8</v>
      </c>
      <c r="D48" s="17">
        <f>'prévision 2017'!G64</f>
        <v>22596000</v>
      </c>
      <c r="E48" s="17">
        <f>'prévision 2017'!H64</f>
        <v>16947000</v>
      </c>
      <c r="F48" s="17">
        <f>'prévision 2017'!I64</f>
        <v>22596000</v>
      </c>
      <c r="G48" s="17">
        <f>'prévision 2017'!J64</f>
        <v>0</v>
      </c>
      <c r="H48" s="46">
        <f t="shared" si="1"/>
        <v>22596000</v>
      </c>
      <c r="I48" s="1">
        <f t="shared" si="0"/>
        <v>5649000</v>
      </c>
    </row>
    <row r="49" spans="1:9" ht="15.75">
      <c r="A49" s="18" t="s">
        <v>22</v>
      </c>
      <c r="B49" s="185">
        <v>6052</v>
      </c>
      <c r="C49" s="14" t="s">
        <v>598</v>
      </c>
      <c r="D49" s="17">
        <f>'prévision 2017'!G68</f>
        <v>600000</v>
      </c>
      <c r="E49" s="17">
        <f>'prévision 2017'!H68</f>
        <v>300000</v>
      </c>
      <c r="F49" s="17">
        <f>'prévision 2017'!I68</f>
        <v>600000</v>
      </c>
      <c r="G49" s="17">
        <f>'prévision 2017'!J68</f>
        <v>0</v>
      </c>
      <c r="H49" s="46">
        <f t="shared" si="1"/>
        <v>600000</v>
      </c>
      <c r="I49" s="1">
        <f t="shared" si="0"/>
        <v>300000</v>
      </c>
    </row>
    <row r="50" spans="1:9" ht="15.75">
      <c r="A50" s="14" t="s">
        <v>22</v>
      </c>
      <c r="B50" s="193">
        <v>60100</v>
      </c>
      <c r="C50" s="14" t="s">
        <v>47</v>
      </c>
      <c r="D50" s="17">
        <f>'prévision 2017'!G62</f>
        <v>1800000</v>
      </c>
      <c r="E50" s="17">
        <f>'prévision 2017'!H62</f>
        <v>1350000</v>
      </c>
      <c r="F50" s="17">
        <f>'prévision 2017'!I62</f>
        <v>1800000</v>
      </c>
      <c r="G50" s="17">
        <f>'prévision 2017'!J62</f>
        <v>0</v>
      </c>
      <c r="H50" s="46">
        <f t="shared" si="1"/>
        <v>1800000</v>
      </c>
      <c r="I50" s="1">
        <f t="shared" si="0"/>
        <v>450000</v>
      </c>
    </row>
    <row r="51" spans="1:9" ht="15.75">
      <c r="A51" s="14" t="s">
        <v>22</v>
      </c>
      <c r="B51" s="193">
        <v>60101</v>
      </c>
      <c r="C51" s="14" t="s">
        <v>297</v>
      </c>
      <c r="D51" s="17">
        <f>'prévision 2017'!G63</f>
        <v>800000</v>
      </c>
      <c r="E51" s="17">
        <f>'prévision 2017'!H63</f>
        <v>600000</v>
      </c>
      <c r="F51" s="17">
        <f>'prévision 2017'!I63</f>
        <v>800000</v>
      </c>
      <c r="G51" s="17">
        <f>'prévision 2017'!J63</f>
        <v>0</v>
      </c>
      <c r="H51" s="46">
        <f t="shared" si="1"/>
        <v>800000</v>
      </c>
      <c r="I51" s="1">
        <f t="shared" si="0"/>
        <v>200000</v>
      </c>
    </row>
    <row r="52" spans="1:9" ht="15.75">
      <c r="A52" s="14" t="s">
        <v>22</v>
      </c>
      <c r="B52" s="185">
        <v>6122</v>
      </c>
      <c r="C52" s="14" t="s">
        <v>582</v>
      </c>
      <c r="D52" s="17">
        <f>'prévision 2017'!G66</f>
        <v>1000000</v>
      </c>
      <c r="E52" s="17">
        <f>'prévision 2017'!H66</f>
        <v>500000</v>
      </c>
      <c r="F52" s="17">
        <f>'prévision 2017'!I66</f>
        <v>1000000</v>
      </c>
      <c r="G52" s="17">
        <f>'prévision 2017'!J66</f>
        <v>0</v>
      </c>
      <c r="H52" s="46">
        <f t="shared" si="1"/>
        <v>1000000</v>
      </c>
      <c r="I52" s="1">
        <f t="shared" si="0"/>
        <v>500000</v>
      </c>
    </row>
    <row r="53" spans="1:9" ht="15.75">
      <c r="A53" s="14" t="s">
        <v>22</v>
      </c>
      <c r="B53" s="193">
        <v>6161</v>
      </c>
      <c r="C53" s="14" t="s">
        <v>257</v>
      </c>
      <c r="D53" s="17">
        <f>'prévision 2017'!G69</f>
        <v>1000000</v>
      </c>
      <c r="E53" s="17">
        <f>'prévision 2017'!H69</f>
        <v>750000</v>
      </c>
      <c r="F53" s="17">
        <f>'prévision 2017'!I69</f>
        <v>1000000</v>
      </c>
      <c r="G53" s="17">
        <f>'prévision 2017'!J69</f>
        <v>0</v>
      </c>
      <c r="H53" s="46">
        <f t="shared" si="1"/>
        <v>1000000</v>
      </c>
      <c r="I53" s="1">
        <f t="shared" si="0"/>
        <v>250000</v>
      </c>
    </row>
    <row r="54" spans="1:9" ht="15.75">
      <c r="A54" s="18" t="s">
        <v>22</v>
      </c>
      <c r="B54" s="43">
        <v>6173</v>
      </c>
      <c r="C54" s="14" t="s">
        <v>19</v>
      </c>
      <c r="D54" s="17">
        <f>'prévision 2017'!G72</f>
        <v>0</v>
      </c>
      <c r="E54" s="17">
        <f>'prévision 2017'!H72</f>
        <v>0</v>
      </c>
      <c r="F54" s="17">
        <f>'prévision 2017'!I72</f>
        <v>0</v>
      </c>
      <c r="G54" s="17">
        <f>'prévision 2017'!J72</f>
        <v>0</v>
      </c>
      <c r="H54" s="46">
        <f t="shared" si="1"/>
        <v>0</v>
      </c>
      <c r="I54" s="1">
        <f t="shared" si="0"/>
        <v>0</v>
      </c>
    </row>
    <row r="55" spans="1:9" ht="15.75">
      <c r="A55" s="14" t="s">
        <v>22</v>
      </c>
      <c r="B55" s="193">
        <v>6174</v>
      </c>
      <c r="C55" s="14" t="s">
        <v>563</v>
      </c>
      <c r="D55" s="17">
        <f>'prévision 2017'!G73</f>
        <v>1250000</v>
      </c>
      <c r="E55" s="17">
        <f>'prévision 2017'!H73</f>
        <v>937500</v>
      </c>
      <c r="F55" s="17">
        <f>'prévision 2017'!I73</f>
        <v>1250000</v>
      </c>
      <c r="G55" s="17">
        <f>'prévision 2017'!J73</f>
        <v>0</v>
      </c>
      <c r="H55" s="46">
        <f t="shared" si="1"/>
        <v>1250000</v>
      </c>
      <c r="I55" s="1">
        <f t="shared" si="0"/>
        <v>312500</v>
      </c>
    </row>
    <row r="56" spans="1:9" ht="15.75">
      <c r="A56" s="14" t="s">
        <v>22</v>
      </c>
      <c r="B56" s="23" t="s">
        <v>191</v>
      </c>
      <c r="C56" s="14"/>
      <c r="D56" s="24">
        <f>SUBTOTAL(109,D48:D55)</f>
        <v>29046000</v>
      </c>
      <c r="E56" s="24">
        <f>SUBTOTAL(109,E48:E55)</f>
        <v>21384500</v>
      </c>
      <c r="F56" s="24">
        <f>SUBTOTAL(109,F48:F55)</f>
        <v>29046000</v>
      </c>
      <c r="G56" s="24">
        <f>SUBTOTAL(109,G48:G55)</f>
        <v>0</v>
      </c>
      <c r="H56" s="24">
        <f>SUBTOTAL(109,H48:H55)</f>
        <v>29046000</v>
      </c>
      <c r="I56" s="1">
        <f t="shared" si="0"/>
        <v>7661500</v>
      </c>
    </row>
    <row r="57" spans="1:9" ht="15.75">
      <c r="A57" s="11" t="s">
        <v>22</v>
      </c>
      <c r="B57" s="19" t="s">
        <v>618</v>
      </c>
      <c r="C57" s="14"/>
      <c r="D57" s="24">
        <f>D56+D47</f>
        <v>150741600</v>
      </c>
      <c r="E57" s="24">
        <f>E56+E47</f>
        <v>158259532.55</v>
      </c>
      <c r="F57" s="24">
        <f>F56+F47</f>
        <v>150741600</v>
      </c>
      <c r="G57" s="24">
        <f>G56+G47</f>
        <v>0</v>
      </c>
      <c r="H57" s="24">
        <f>H56+H47</f>
        <v>150741600</v>
      </c>
      <c r="I57" s="1">
        <f t="shared" si="0"/>
        <v>-7517932.550000012</v>
      </c>
    </row>
    <row r="58" spans="1:9" ht="15.75">
      <c r="A58" s="30" t="s">
        <v>24</v>
      </c>
      <c r="B58" s="28" t="s">
        <v>25</v>
      </c>
      <c r="C58" s="14"/>
      <c r="D58" s="17"/>
      <c r="E58" s="17"/>
      <c r="F58" s="17"/>
      <c r="H58" s="46"/>
      <c r="I58" s="1">
        <f t="shared" si="0"/>
        <v>0</v>
      </c>
    </row>
    <row r="59" spans="1:9" ht="15.75">
      <c r="A59" s="11" t="s">
        <v>24</v>
      </c>
      <c r="B59" s="29">
        <v>6611</v>
      </c>
      <c r="C59" s="14" t="s">
        <v>6</v>
      </c>
      <c r="D59" s="17">
        <f>'prévision 2017'!G78+'prévision 2017'!G83+'prévision 2017'!G92+'prévision 2017'!G101+'prévision 2017'!G111+'prévision 2017'!G119+'prévision 2017'!G151+'prévision 2017'!G162+'prévision 2017'!G157+'prévision 2017'!G138</f>
        <v>4929784007.221</v>
      </c>
      <c r="E59" s="17">
        <f>'prévision 2017'!H78+'prévision 2017'!H83+'prévision 2017'!H92+'prévision 2017'!H101+'prévision 2017'!H111+'prévision 2017'!H119+'prévision 2017'!H151+'prévision 2017'!H162+'prévision 2017'!H157+'prévision 2017'!H138</f>
        <v>4691520334.150001</v>
      </c>
      <c r="F59" s="17">
        <f>'prévision 2017'!I78+'prévision 2017'!I83+'prévision 2017'!I92+'prévision 2017'!I101+'prévision 2017'!I111+'prévision 2017'!I119+'prévision 2017'!I151+'prévision 2017'!I162+'prévision 2017'!I157+'prévision 2017'!I138</f>
        <v>4935746409.221</v>
      </c>
      <c r="G59" s="17">
        <f>'prévision 2017'!J78+'prévision 2017'!J83+'prévision 2017'!J92+'prévision 2017'!J101+'prévision 2017'!J111+'prévision 2017'!J119+'prévision 2017'!J151+'prévision 2017'!J162+'prévision 2017'!J157+'prévision 2017'!J138</f>
        <v>55000000</v>
      </c>
      <c r="H59" s="46">
        <f t="shared" si="1"/>
        <v>4990746409.221</v>
      </c>
      <c r="I59" s="1">
        <f t="shared" si="0"/>
        <v>299226075.07099915</v>
      </c>
    </row>
    <row r="60" spans="1:9" ht="15.75">
      <c r="A60" s="30" t="s">
        <v>24</v>
      </c>
      <c r="B60" s="23" t="s">
        <v>192</v>
      </c>
      <c r="C60" s="14"/>
      <c r="D60" s="24">
        <f>SUBTOTAL(109,D59:D59)</f>
        <v>4929784007.221</v>
      </c>
      <c r="E60" s="24">
        <f>SUBTOTAL(109,E59:E59)</f>
        <v>4691520334.150001</v>
      </c>
      <c r="F60" s="24">
        <f>SUBTOTAL(109,F59:F59)</f>
        <v>4935746409.221</v>
      </c>
      <c r="G60" s="24">
        <f>SUBTOTAL(109,G59:G59)</f>
        <v>55000000</v>
      </c>
      <c r="H60" s="24">
        <f>SUBTOTAL(109,H59:H59)</f>
        <v>4990746409.221</v>
      </c>
      <c r="I60" s="1">
        <f t="shared" si="0"/>
        <v>299226075.07099915</v>
      </c>
    </row>
    <row r="61" spans="1:9" ht="15.75">
      <c r="A61" s="11" t="s">
        <v>24</v>
      </c>
      <c r="B61" s="43">
        <v>60100</v>
      </c>
      <c r="C61" s="14" t="s">
        <v>7</v>
      </c>
      <c r="D61" s="17">
        <f>'prévision 2017'!G84+'prévision 2017'!G93+'prévision 2017'!G102+'prévision 2017'!G112+'prévision 2017'!G121+'prévision 2017'!G152+'prévision 2017'!G158+'prévision 2017'!G175+'prévision 2017'!G139</f>
        <v>20145331</v>
      </c>
      <c r="E61" s="17">
        <f>'prévision 2017'!H84+'prévision 2017'!H93+'prévision 2017'!H102+'prévision 2017'!H112+'prévision 2017'!H121+'prévision 2017'!H152+'prévision 2017'!H158+'prévision 2017'!H175+'prévision 2017'!H139</f>
        <v>14733580</v>
      </c>
      <c r="F61" s="17">
        <f>'prévision 2017'!I84+'prévision 2017'!I93+'prévision 2017'!I102+'prévision 2017'!I112+'prévision 2017'!I121+'prévision 2017'!I152+'prévision 2017'!I158+'prévision 2017'!I175+'prévision 2017'!I139</f>
        <v>20145331</v>
      </c>
      <c r="G61" s="17">
        <f>'prévision 2017'!J84+'prévision 2017'!J93+'prévision 2017'!J102+'prévision 2017'!J112+'prévision 2017'!J121+'prévision 2017'!J152+'prévision 2017'!J158+'prévision 2017'!J175+'prévision 2017'!J139</f>
        <v>0</v>
      </c>
      <c r="H61" s="46">
        <f t="shared" si="1"/>
        <v>20145331</v>
      </c>
      <c r="I61" s="1">
        <f t="shared" si="0"/>
        <v>5411751</v>
      </c>
    </row>
    <row r="62" spans="1:9" ht="15.75">
      <c r="A62" s="201" t="s">
        <v>24</v>
      </c>
      <c r="B62" s="220">
        <v>60101</v>
      </c>
      <c r="C62" s="14" t="s">
        <v>297</v>
      </c>
      <c r="D62" s="17">
        <f>'prévision 2017'!G113+'prévision 2017'!G122+'prévision 2017'!G176+'prévision 2017'!G140</f>
        <v>5868856</v>
      </c>
      <c r="E62" s="17">
        <f>'prévision 2017'!H113+'prévision 2017'!H122+'prévision 2017'!H176+'prévision 2017'!H140</f>
        <v>1342000</v>
      </c>
      <c r="F62" s="17">
        <f>'prévision 2017'!I113+'prévision 2017'!I122+'prévision 2017'!I176+'prévision 2017'!I140</f>
        <v>5868856</v>
      </c>
      <c r="G62" s="17">
        <f>'prévision 2017'!J113+'prévision 2017'!J122+'prévision 2017'!J176+'prévision 2017'!J140</f>
        <v>0</v>
      </c>
      <c r="H62" s="46">
        <f t="shared" si="1"/>
        <v>5868856</v>
      </c>
      <c r="I62" s="1">
        <f t="shared" si="0"/>
        <v>4526856</v>
      </c>
    </row>
    <row r="63" spans="1:9" ht="15.75">
      <c r="A63" s="201" t="s">
        <v>24</v>
      </c>
      <c r="B63" s="28">
        <v>6112</v>
      </c>
      <c r="C63" s="14" t="s">
        <v>12</v>
      </c>
      <c r="D63" s="17">
        <f>'prévision 2017'!G87+'prévision 2017'!G106+'prévision 2017'!G129+'prévision 2017'!G185</f>
        <v>20000000</v>
      </c>
      <c r="E63" s="17">
        <f>'prévision 2017'!H87+'prévision 2017'!H106+'prévision 2017'!H129+'prévision 2017'!H185</f>
        <v>20000000</v>
      </c>
      <c r="F63" s="17">
        <f>'prévision 2017'!I87+'prévision 2017'!I106+'prévision 2017'!I129+'prévision 2017'!I185</f>
        <v>20000000</v>
      </c>
      <c r="G63" s="17">
        <f>'prévision 2017'!J87+'prévision 2017'!J106+'prévision 2017'!J129+'prévision 2017'!J185</f>
        <v>0</v>
      </c>
      <c r="H63" s="46">
        <f t="shared" si="1"/>
        <v>20000000</v>
      </c>
      <c r="I63" s="1">
        <f t="shared" si="0"/>
        <v>0</v>
      </c>
    </row>
    <row r="64" spans="1:9" ht="15.75">
      <c r="A64" s="30" t="s">
        <v>24</v>
      </c>
      <c r="B64" s="185">
        <v>6122</v>
      </c>
      <c r="C64" s="14" t="s">
        <v>582</v>
      </c>
      <c r="D64" s="17">
        <f>'prévision 2017'!G86+'prévision 2017'!G94+'prévision 2017'!G104+'prévision 2017'!G114+'prévision 2017'!G123+'prévision 2017'!G159+'prévision 2017'!G179+'prévision 2017'!G141</f>
        <v>10364000</v>
      </c>
      <c r="E64" s="17">
        <f>'prévision 2017'!H86+'prévision 2017'!H94+'prévision 2017'!H104+'prévision 2017'!H114+'prévision 2017'!H123+'prévision 2017'!H159+'prévision 2017'!H179+'prévision 2017'!H141</f>
        <v>8402075</v>
      </c>
      <c r="F64" s="17">
        <f>'prévision 2017'!I86+'prévision 2017'!I94+'prévision 2017'!I104+'prévision 2017'!I114+'prévision 2017'!I123+'prévision 2017'!I159+'prévision 2017'!I179+'prévision 2017'!I141</f>
        <v>10364000</v>
      </c>
      <c r="G64" s="17">
        <f>'prévision 2017'!J86+'prévision 2017'!J94+'prévision 2017'!J104+'prévision 2017'!J114+'prévision 2017'!J123+'prévision 2017'!J159+'prévision 2017'!J179+'prévision 2017'!J141</f>
        <v>0</v>
      </c>
      <c r="H64" s="46">
        <f t="shared" si="1"/>
        <v>10364000</v>
      </c>
      <c r="I64" s="1">
        <f t="shared" si="0"/>
        <v>1961925</v>
      </c>
    </row>
    <row r="65" spans="1:9" ht="15.75">
      <c r="A65" s="11" t="s">
        <v>24</v>
      </c>
      <c r="B65" s="29">
        <v>6133</v>
      </c>
      <c r="C65" s="14" t="s">
        <v>30</v>
      </c>
      <c r="D65" s="17">
        <f>'prévision 2017'!G95+'prévision 2017'!G105+'prévision 2017'!G125+'prévision 2017'!G180</f>
        <v>23600000</v>
      </c>
      <c r="E65" s="17">
        <f>'prévision 2017'!H95+'prévision 2017'!H105+'prévision 2017'!H125+'prévision 2017'!H180</f>
        <v>23600000</v>
      </c>
      <c r="F65" s="17">
        <f>'prévision 2017'!I95+'prévision 2017'!I105+'prévision 2017'!I125+'prévision 2017'!I180</f>
        <v>23600000</v>
      </c>
      <c r="G65" s="17">
        <f>'prévision 2017'!J95+'prévision 2017'!J105+'prévision 2017'!J125+'prévision 2017'!J180</f>
        <v>0</v>
      </c>
      <c r="H65" s="46">
        <f t="shared" si="1"/>
        <v>23600000</v>
      </c>
      <c r="I65" s="1">
        <f t="shared" si="0"/>
        <v>0</v>
      </c>
    </row>
    <row r="66" spans="1:9" ht="15.75">
      <c r="A66" s="11" t="s">
        <v>24</v>
      </c>
      <c r="B66" s="29">
        <v>6171</v>
      </c>
      <c r="C66" s="14" t="s">
        <v>173</v>
      </c>
      <c r="D66" s="17">
        <f>'prévision 2017'!G96</f>
        <v>20000000</v>
      </c>
      <c r="E66" s="17">
        <f>'prévision 2017'!H96</f>
        <v>20000000</v>
      </c>
      <c r="F66" s="17">
        <f>'prévision 2017'!I96</f>
        <v>20000000</v>
      </c>
      <c r="G66" s="17">
        <f>'prévision 2017'!J96</f>
        <v>0</v>
      </c>
      <c r="H66" s="46">
        <f t="shared" si="1"/>
        <v>20000000</v>
      </c>
      <c r="I66" s="1">
        <f t="shared" si="0"/>
        <v>0</v>
      </c>
    </row>
    <row r="67" spans="1:9" ht="15.75">
      <c r="A67" s="30" t="s">
        <v>24</v>
      </c>
      <c r="B67" s="36">
        <v>6173</v>
      </c>
      <c r="C67" s="14" t="s">
        <v>16</v>
      </c>
      <c r="D67" s="17">
        <f>'prévision 2017'!G79+'prévision 2017'!G88+'prévision 2017'!G97+'prévision 2017'!G107+'prévision 2017'!G115+'prévision 2017'!G130+'prévision 2017'!G145+'prévision 2017'!G148+'prévision 2017'!G154+'prévision 2017'!G163+'prévision 2017'!G186</f>
        <v>308660000</v>
      </c>
      <c r="E67" s="17">
        <f>'prévision 2017'!H79+'prévision 2017'!H88+'prévision 2017'!H97+'prévision 2017'!H107+'prévision 2017'!H115+'prévision 2017'!H130+'prévision 2017'!H145+'prévision 2017'!H148+'prévision 2017'!H154+'prévision 2017'!H163+'prévision 2017'!H186</f>
        <v>328130000</v>
      </c>
      <c r="F67" s="17">
        <f>'prévision 2017'!I79+'prévision 2017'!I88+'prévision 2017'!I97+'prévision 2017'!I107+'prévision 2017'!I115+'prévision 2017'!I130+'prévision 2017'!I145+'prévision 2017'!I148+'prévision 2017'!I154+'prévision 2017'!I163+'prévision 2017'!I186</f>
        <v>328660000</v>
      </c>
      <c r="G67" s="17">
        <f>'prévision 2017'!J79+'prévision 2017'!J88+'prévision 2017'!J97+'prévision 2017'!J107+'prévision 2017'!J115+'prévision 2017'!J130+'prévision 2017'!J145+'prévision 2017'!J148+'prévision 2017'!J154+'prévision 2017'!J163+'prévision 2017'!J186</f>
        <v>0</v>
      </c>
      <c r="H67" s="46">
        <f t="shared" si="1"/>
        <v>328660000</v>
      </c>
      <c r="I67" s="1">
        <f t="shared" si="0"/>
        <v>530000</v>
      </c>
    </row>
    <row r="68" spans="1:9" ht="15.75">
      <c r="A68" s="11" t="s">
        <v>24</v>
      </c>
      <c r="B68" s="43">
        <v>6174</v>
      </c>
      <c r="C68" s="14" t="s">
        <v>27</v>
      </c>
      <c r="D68" s="17">
        <f>'prévision 2017'!G80+'prévision 2017'!G164</f>
        <v>1191533486</v>
      </c>
      <c r="E68" s="17">
        <f>'prévision 2017'!H80+'prévision 2017'!H164</f>
        <v>1201533487</v>
      </c>
      <c r="F68" s="17">
        <f>'prévision 2017'!I80+'prévision 2017'!I164</f>
        <v>1201533486</v>
      </c>
      <c r="G68" s="17">
        <f>'prévision 2017'!J80+'prévision 2017'!J164</f>
        <v>0</v>
      </c>
      <c r="H68" s="46">
        <f t="shared" si="1"/>
        <v>1201533486</v>
      </c>
      <c r="I68" s="1">
        <f t="shared" si="0"/>
        <v>-1</v>
      </c>
    </row>
    <row r="69" spans="1:9" ht="15.75">
      <c r="A69" s="11" t="s">
        <v>24</v>
      </c>
      <c r="B69" s="29">
        <v>6175</v>
      </c>
      <c r="C69" s="14" t="s">
        <v>13</v>
      </c>
      <c r="D69" s="17">
        <f>'prévision 2017'!G89+'prévision 2017'!G98+'prévision 2017'!G108+'prévision 2017'!G116+'prévision 2017'!G131+'prévision 2017'!G187</f>
        <v>61010263</v>
      </c>
      <c r="E69" s="17">
        <f>'prévision 2017'!H89+'prévision 2017'!H98+'prévision 2017'!H108+'prévision 2017'!H116+'prévision 2017'!H131+'prévision 2017'!H187</f>
        <v>61010263</v>
      </c>
      <c r="F69" s="17">
        <f>'prévision 2017'!I89+'prévision 2017'!I98+'prévision 2017'!I108+'prévision 2017'!I116+'prévision 2017'!I131+'prévision 2017'!I187</f>
        <v>61010263</v>
      </c>
      <c r="G69" s="17">
        <f>'prévision 2017'!J89+'prévision 2017'!J98+'prévision 2017'!J108+'prévision 2017'!J116+'prévision 2017'!J131+'prévision 2017'!J187</f>
        <v>0</v>
      </c>
      <c r="H69" s="46">
        <f t="shared" si="1"/>
        <v>61010263</v>
      </c>
      <c r="I69" s="1">
        <f t="shared" si="0"/>
        <v>0</v>
      </c>
    </row>
    <row r="70" spans="1:9" ht="15.75">
      <c r="A70" s="30" t="s">
        <v>24</v>
      </c>
      <c r="B70" s="23" t="s">
        <v>191</v>
      </c>
      <c r="C70" s="14"/>
      <c r="D70" s="24">
        <f>SUM(D61:D69)</f>
        <v>1661181936</v>
      </c>
      <c r="E70" s="24">
        <f>SUBTOTAL(109,E61:E69)</f>
        <v>1678751405</v>
      </c>
      <c r="F70" s="24">
        <f>SUBTOTAL(109,F61:F69)</f>
        <v>1691181936</v>
      </c>
      <c r="G70" s="24">
        <f>SUBTOTAL(109,G61:G69)</f>
        <v>0</v>
      </c>
      <c r="H70" s="24">
        <f>SUBTOTAL(109,H61:H69)</f>
        <v>1691181936</v>
      </c>
      <c r="I70" s="1">
        <f t="shared" si="0"/>
        <v>12430531</v>
      </c>
    </row>
    <row r="71" spans="1:9" ht="15.75">
      <c r="A71" s="215" t="s">
        <v>24</v>
      </c>
      <c r="B71" s="29">
        <v>6311</v>
      </c>
      <c r="C71" s="14" t="s">
        <v>280</v>
      </c>
      <c r="D71" s="17">
        <f>'prévision 2017'!G193</f>
        <v>0</v>
      </c>
      <c r="E71" s="17">
        <f>'prévision 2017'!H193</f>
        <v>0</v>
      </c>
      <c r="F71" s="17">
        <f>'prévision 2017'!I193</f>
        <v>5000000</v>
      </c>
      <c r="G71" s="17">
        <f>'prévision 2017'!J193</f>
        <v>0</v>
      </c>
      <c r="H71" s="46">
        <f t="shared" si="1"/>
        <v>5000000</v>
      </c>
      <c r="I71" s="1">
        <f aca="true" t="shared" si="2" ref="I71:I134">H71-E71</f>
        <v>5000000</v>
      </c>
    </row>
    <row r="72" spans="1:9" ht="15.75">
      <c r="A72" s="11" t="s">
        <v>24</v>
      </c>
      <c r="B72" s="29">
        <v>6432</v>
      </c>
      <c r="C72" s="14" t="s">
        <v>41</v>
      </c>
      <c r="D72" s="17">
        <f>'prévision 2017'!G165</f>
        <v>73380217</v>
      </c>
      <c r="E72" s="17">
        <f>'prévision 2017'!H165</f>
        <v>73380216</v>
      </c>
      <c r="F72" s="17">
        <f>'prévision 2017'!I165</f>
        <v>73380217</v>
      </c>
      <c r="G72" s="17">
        <f>'prévision 2017'!J165</f>
        <v>0</v>
      </c>
      <c r="H72" s="46">
        <f t="shared" si="1"/>
        <v>73380217</v>
      </c>
      <c r="I72" s="1">
        <f t="shared" si="2"/>
        <v>1</v>
      </c>
    </row>
    <row r="73" spans="1:9" ht="15.75">
      <c r="A73" s="30" t="s">
        <v>24</v>
      </c>
      <c r="B73" s="28">
        <v>6433</v>
      </c>
      <c r="C73" s="14" t="s">
        <v>42</v>
      </c>
      <c r="D73" s="17">
        <f>'prévision 2017'!G166</f>
        <v>11721022</v>
      </c>
      <c r="E73" s="17">
        <f>'prévision 2017'!H166</f>
        <v>11721022</v>
      </c>
      <c r="F73" s="17">
        <f>'prévision 2017'!I166</f>
        <v>11721022</v>
      </c>
      <c r="G73" s="17">
        <f>'prévision 2017'!J166</f>
        <v>0</v>
      </c>
      <c r="H73" s="46">
        <f aca="true" t="shared" si="3" ref="H73:H136">F73+G73</f>
        <v>11721022</v>
      </c>
      <c r="I73" s="1">
        <f t="shared" si="2"/>
        <v>0</v>
      </c>
    </row>
    <row r="74" spans="1:9" ht="15.75">
      <c r="A74" s="11" t="s">
        <v>24</v>
      </c>
      <c r="B74" s="19" t="s">
        <v>193</v>
      </c>
      <c r="C74" s="14"/>
      <c r="D74" s="24">
        <f>SUBTOTAL(109,D71:D73)</f>
        <v>85101239</v>
      </c>
      <c r="E74" s="24">
        <f>SUBTOTAL(109,E71:E73)</f>
        <v>85101238</v>
      </c>
      <c r="F74" s="24">
        <f>SUBTOTAL(109,F71:F73)</f>
        <v>90101239</v>
      </c>
      <c r="G74" s="24">
        <f>SUBTOTAL(109,G71:G73)</f>
        <v>0</v>
      </c>
      <c r="H74" s="46">
        <f t="shared" si="3"/>
        <v>90101239</v>
      </c>
      <c r="I74" s="1">
        <f t="shared" si="2"/>
        <v>5000001</v>
      </c>
    </row>
    <row r="75" spans="1:9" ht="15.75">
      <c r="A75" s="30" t="s">
        <v>24</v>
      </c>
      <c r="B75" s="15" t="s">
        <v>618</v>
      </c>
      <c r="C75" s="14"/>
      <c r="D75" s="24">
        <f>D74+D70+D60</f>
        <v>6676067182.221</v>
      </c>
      <c r="E75" s="644">
        <f>E74+E70+E60</f>
        <v>6455372977.150001</v>
      </c>
      <c r="F75" s="24">
        <f>F74+F70+F60</f>
        <v>6717029584.221</v>
      </c>
      <c r="G75" s="24">
        <f>G74+G70+G60</f>
        <v>55000000</v>
      </c>
      <c r="H75" s="24">
        <f>H74+H70+H60</f>
        <v>6772029584.221</v>
      </c>
      <c r="I75" s="618">
        <f t="shared" si="2"/>
        <v>316656607.07099915</v>
      </c>
    </row>
    <row r="76" spans="1:9" ht="15.75">
      <c r="A76" s="645" t="s">
        <v>44</v>
      </c>
      <c r="B76" s="5" t="s">
        <v>633</v>
      </c>
      <c r="C76" s="14"/>
      <c r="D76" s="17"/>
      <c r="E76" s="17"/>
      <c r="F76" s="17"/>
      <c r="H76" s="46"/>
      <c r="I76" s="1">
        <f t="shared" si="2"/>
        <v>0</v>
      </c>
    </row>
    <row r="77" spans="1:9" ht="15.75">
      <c r="A77" s="646" t="s">
        <v>44</v>
      </c>
      <c r="B77" s="28">
        <v>6611</v>
      </c>
      <c r="C77" s="14" t="s">
        <v>6</v>
      </c>
      <c r="D77" s="17">
        <f>'prévision 2017'!G198+'prévision 2017'!G205+'prévision 2017'!G212+'prévision 2017'!G219+'prévision 2017'!G225+'prévision 2017'!G231+'prévision 2017'!G237</f>
        <v>330491498</v>
      </c>
      <c r="E77" s="17">
        <f>'prévision 2017'!H198+'prévision 2017'!H205+'prévision 2017'!H212+'prévision 2017'!H219+'prévision 2017'!H225+'prévision 2017'!H231+'prévision 2017'!H237</f>
        <v>331399099.71</v>
      </c>
      <c r="F77" s="17">
        <f>'prévision 2017'!I198+'prévision 2017'!I205+'prévision 2017'!I212+'prévision 2017'!I219+'prévision 2017'!I225+'prévision 2017'!I231+'prévision 2017'!I237</f>
        <v>330491498</v>
      </c>
      <c r="G77" s="17">
        <f>'prévision 2017'!J198+'prévision 2017'!J205+'prévision 2017'!J212+'prévision 2017'!J219+'prévision 2017'!J225+'prévision 2017'!J231+'prévision 2017'!J237</f>
        <v>0</v>
      </c>
      <c r="H77" s="46">
        <f t="shared" si="3"/>
        <v>330491498</v>
      </c>
      <c r="I77" s="1">
        <f t="shared" si="2"/>
        <v>-907601.7099999785</v>
      </c>
    </row>
    <row r="78" spans="1:9" ht="15.75">
      <c r="A78" s="645" t="s">
        <v>44</v>
      </c>
      <c r="B78" s="19" t="s">
        <v>192</v>
      </c>
      <c r="C78" s="14"/>
      <c r="D78" s="24">
        <f>SUBTOTAL(109,D77:D77)</f>
        <v>330491498</v>
      </c>
      <c r="E78" s="24">
        <f>SUBTOTAL(109,E77:E77)</f>
        <v>331399099.71</v>
      </c>
      <c r="F78" s="24">
        <f>SUBTOTAL(109,F77:F77)</f>
        <v>330491498</v>
      </c>
      <c r="G78" s="24">
        <f>SUBTOTAL(109,G77:G77)</f>
        <v>0</v>
      </c>
      <c r="H78" s="24">
        <f>SUBTOTAL(109,H77:H77)</f>
        <v>330491498</v>
      </c>
      <c r="I78" s="618">
        <f t="shared" si="2"/>
        <v>-907601.7099999785</v>
      </c>
    </row>
    <row r="79" spans="1:9" ht="15.75">
      <c r="A79" s="646" t="s">
        <v>44</v>
      </c>
      <c r="B79" s="36">
        <v>60100</v>
      </c>
      <c r="C79" s="14" t="s">
        <v>7</v>
      </c>
      <c r="D79" s="17">
        <f>'prévision 2017'!G199+'prévision 2017'!G206+'prévision 2017'!G213+'prévision 2017'!G220+'prévision 2017'!G226+'prévision 2017'!G232+'prévision 2017'!G238+'prévision 2017'!G244</f>
        <v>10391741</v>
      </c>
      <c r="E79" s="17">
        <f>'prévision 2017'!H199+'prévision 2017'!H206+'prévision 2017'!H213+'prévision 2017'!H220+'prévision 2017'!H226+'prévision 2017'!H232+'prévision 2017'!H238+'prévision 2017'!H244</f>
        <v>775860</v>
      </c>
      <c r="F79" s="17">
        <f>'prévision 2017'!I199+'prévision 2017'!I206+'prévision 2017'!I213+'prévision 2017'!I220+'prévision 2017'!I226+'prévision 2017'!I232+'prévision 2017'!I238+'prévision 2017'!I244</f>
        <v>10391741</v>
      </c>
      <c r="G79" s="17">
        <f>'prévision 2017'!J199+'prévision 2017'!J206+'prévision 2017'!J213+'prévision 2017'!J220+'prévision 2017'!J226+'prévision 2017'!J232+'prévision 2017'!J238+'prévision 2017'!J244</f>
        <v>0</v>
      </c>
      <c r="H79" s="46">
        <f t="shared" si="3"/>
        <v>10391741</v>
      </c>
      <c r="I79" s="1">
        <f t="shared" si="2"/>
        <v>9615881</v>
      </c>
    </row>
    <row r="80" spans="1:9" ht="15.75">
      <c r="A80" s="645" t="s">
        <v>44</v>
      </c>
      <c r="B80" s="185">
        <v>6122</v>
      </c>
      <c r="C80" s="14" t="s">
        <v>582</v>
      </c>
      <c r="D80" s="17">
        <f>'prévision 2017'!G200+'prévision 2017'!G208+'prévision 2017'!G214+'prévision 2017'!G221+'prévision 2017'!G227+'prévision 2017'!G233+'prévision 2017'!G239+'prévision 2017'!G245</f>
        <v>7277390.3</v>
      </c>
      <c r="E80" s="17">
        <f>'prévision 2017'!H200+'prévision 2017'!H208+'prévision 2017'!H214+'prévision 2017'!H221+'prévision 2017'!H227+'prévision 2017'!H233+'prévision 2017'!H239+'prévision 2017'!H245</f>
        <v>0</v>
      </c>
      <c r="F80" s="17">
        <f>'prévision 2017'!I200+'prévision 2017'!I208+'prévision 2017'!I214+'prévision 2017'!I221+'prévision 2017'!I227+'prévision 2017'!I233+'prévision 2017'!I239+'prévision 2017'!I245</f>
        <v>7277390.3</v>
      </c>
      <c r="G80" s="17">
        <f>'prévision 2017'!J200+'prévision 2017'!J208+'prévision 2017'!J214+'prévision 2017'!J221+'prévision 2017'!J227+'prévision 2017'!J233+'prévision 2017'!J239+'prévision 2017'!J245</f>
        <v>0</v>
      </c>
      <c r="H80" s="46">
        <f t="shared" si="3"/>
        <v>7277390.3</v>
      </c>
      <c r="I80" s="1">
        <f t="shared" si="2"/>
        <v>7277390.3</v>
      </c>
    </row>
    <row r="81" spans="1:9" ht="15.75">
      <c r="A81" s="645" t="s">
        <v>44</v>
      </c>
      <c r="B81" s="29">
        <v>6173</v>
      </c>
      <c r="C81" s="14" t="s">
        <v>16</v>
      </c>
      <c r="D81" s="17">
        <f>'prévision 2017'!G240</f>
        <v>0</v>
      </c>
      <c r="E81" s="17">
        <f>'prévision 2017'!H240</f>
        <v>0</v>
      </c>
      <c r="F81" s="17">
        <f>'prévision 2017'!I240</f>
        <v>0</v>
      </c>
      <c r="G81" s="17">
        <f>'prévision 2017'!J240</f>
        <v>0</v>
      </c>
      <c r="H81" s="46">
        <f t="shared" si="3"/>
        <v>0</v>
      </c>
      <c r="I81" s="1">
        <f t="shared" si="2"/>
        <v>0</v>
      </c>
    </row>
    <row r="82" spans="1:9" ht="15.75">
      <c r="A82" s="646" t="s">
        <v>44</v>
      </c>
      <c r="B82" s="28">
        <v>6175</v>
      </c>
      <c r="C82" s="14" t="s">
        <v>13</v>
      </c>
      <c r="D82" s="17">
        <f>'prévision 2017'!G201+'prévision 2017'!G209+'prévision 2017'!G216+'prévision 2017'!G241</f>
        <v>3800000</v>
      </c>
      <c r="E82" s="17">
        <f>'prévision 2017'!H201+'prévision 2017'!H209+'prévision 2017'!H216+'prévision 2017'!H241</f>
        <v>3000000</v>
      </c>
      <c r="F82" s="17">
        <f>'prévision 2017'!I201+'prévision 2017'!I209+'prévision 2017'!I216+'prévision 2017'!I241</f>
        <v>3800000</v>
      </c>
      <c r="G82" s="17">
        <f>'prévision 2017'!J201+'prévision 2017'!J209+'prévision 2017'!J216+'prévision 2017'!J241</f>
        <v>0</v>
      </c>
      <c r="H82" s="46">
        <f t="shared" si="3"/>
        <v>3800000</v>
      </c>
      <c r="I82" s="1">
        <f t="shared" si="2"/>
        <v>800000</v>
      </c>
    </row>
    <row r="83" spans="1:9" ht="15.75">
      <c r="A83" s="646" t="s">
        <v>44</v>
      </c>
      <c r="B83" s="15" t="s">
        <v>191</v>
      </c>
      <c r="C83" s="14"/>
      <c r="D83" s="24">
        <f>SUBTOTAL(109,D79:D82)</f>
        <v>21469131.3</v>
      </c>
      <c r="E83" s="24">
        <f>SUBTOTAL(109,E79:E82)</f>
        <v>3775860</v>
      </c>
      <c r="F83" s="24">
        <f>SUBTOTAL(109,F79:F82)</f>
        <v>21469131.3</v>
      </c>
      <c r="G83" s="24">
        <f>SUBTOTAL(109,G79:G82)</f>
        <v>0</v>
      </c>
      <c r="H83" s="24">
        <f>SUBTOTAL(109,H79:H82)</f>
        <v>21469131.3</v>
      </c>
      <c r="I83" s="618">
        <f t="shared" si="2"/>
        <v>17693271.3</v>
      </c>
    </row>
    <row r="84" spans="1:9" ht="15.75">
      <c r="A84" s="645" t="s">
        <v>44</v>
      </c>
      <c r="B84" s="43">
        <v>6311</v>
      </c>
      <c r="C84" s="14" t="s">
        <v>280</v>
      </c>
      <c r="D84" s="17">
        <f>'prévision 2017'!G249+'prévision 2017'!G255+'prévision 2017'!G259+'prévision 2017'!G263+'prévision 2017'!G267+'prévision 2017'!G289</f>
        <v>80000000</v>
      </c>
      <c r="E84" s="17">
        <f>'prévision 2017'!H249+'prévision 2017'!H255+'prévision 2017'!H259+'prévision 2017'!H263+'prévision 2017'!H267+'prévision 2017'!H289</f>
        <v>46500000</v>
      </c>
      <c r="F84" s="17">
        <f>'prévision 2017'!I249+'prévision 2017'!I255+'prévision 2017'!I259+'prévision 2017'!I263+'prévision 2017'!I267+'prévision 2017'!I289</f>
        <v>85000000</v>
      </c>
      <c r="G84" s="17">
        <f>'prévision 2017'!J249+'prévision 2017'!J255+'prévision 2017'!J259+'prévision 2017'!J263+'prévision 2017'!J267+'prévision 2017'!J289</f>
        <v>0</v>
      </c>
      <c r="H84" s="46">
        <f t="shared" si="3"/>
        <v>85000000</v>
      </c>
      <c r="I84" s="1">
        <f t="shared" si="2"/>
        <v>38500000</v>
      </c>
    </row>
    <row r="85" spans="1:9" ht="15.75">
      <c r="A85" s="646" t="s">
        <v>44</v>
      </c>
      <c r="B85" s="28">
        <v>6312</v>
      </c>
      <c r="C85" s="14" t="s">
        <v>281</v>
      </c>
      <c r="D85" s="17">
        <f>'prévision 2017'!G251+'prévision 2017'!G256+'prévision 2017'!G260+'prévision 2017'!G264+'prévision 2017'!G268+'prévision 2017'!G271+'prévision 2017'!G274+'prévision 2017'!G277+'prévision 2017'!G280+'prévision 2017'!G283</f>
        <v>1083598852</v>
      </c>
      <c r="E85" s="17">
        <f>'prévision 2017'!H251+'prévision 2017'!H256+'prévision 2017'!H260+'prévision 2017'!H264+'prévision 2017'!H268+'prévision 2017'!H271+'prévision 2017'!H274+'prévision 2017'!H277+'prévision 2017'!H280+'prévision 2017'!H283</f>
        <v>926279952.0600001</v>
      </c>
      <c r="F85" s="17">
        <f>'prévision 2017'!I251+'prévision 2017'!I256+'prévision 2017'!I260+'prévision 2017'!I264+'prévision 2017'!I268+'prévision 2017'!I271+'prévision 2017'!I274+'prévision 2017'!I277+'prévision 2017'!I280+'prévision 2017'!I283</f>
        <v>1083598852</v>
      </c>
      <c r="G85" s="17">
        <f>'prévision 2017'!J251+'prévision 2017'!J256+'prévision 2017'!J260+'prévision 2017'!J264+'prévision 2017'!J268+'prévision 2017'!J271+'prévision 2017'!J274+'prévision 2017'!J277+'prévision 2017'!J280+'prévision 2017'!J283</f>
        <v>0</v>
      </c>
      <c r="H85" s="46">
        <f t="shared" si="3"/>
        <v>1083598852</v>
      </c>
      <c r="I85" s="1">
        <f t="shared" si="2"/>
        <v>157318899.93999994</v>
      </c>
    </row>
    <row r="86" spans="1:9" ht="15.75">
      <c r="A86" s="646" t="s">
        <v>44</v>
      </c>
      <c r="B86" s="28">
        <v>6313</v>
      </c>
      <c r="C86" s="14" t="s">
        <v>254</v>
      </c>
      <c r="D86" s="17">
        <f>'prévision 2017'!G250</f>
        <v>120000000</v>
      </c>
      <c r="E86" s="17">
        <f>'prévision 2017'!H250</f>
        <v>90000000</v>
      </c>
      <c r="F86" s="17">
        <f>'prévision 2017'!I250</f>
        <v>120000000</v>
      </c>
      <c r="G86" s="17">
        <f>'prévision 2017'!J250</f>
        <v>0</v>
      </c>
      <c r="H86" s="46">
        <f t="shared" si="3"/>
        <v>120000000</v>
      </c>
      <c r="I86" s="1">
        <f t="shared" si="2"/>
        <v>30000000</v>
      </c>
    </row>
    <row r="87" spans="1:9" ht="15.75">
      <c r="A87" s="645" t="s">
        <v>44</v>
      </c>
      <c r="B87" s="29">
        <v>6432</v>
      </c>
      <c r="C87" s="14" t="s">
        <v>41</v>
      </c>
      <c r="D87" s="17">
        <f>'prévision 2017'!G202</f>
        <v>20000000</v>
      </c>
      <c r="E87" s="17">
        <f>'prévision 2017'!H202</f>
        <v>18061500</v>
      </c>
      <c r="F87" s="17">
        <f>'prévision 2017'!I202</f>
        <v>20000000</v>
      </c>
      <c r="G87" s="17">
        <f>'prévision 2017'!J202</f>
        <v>0</v>
      </c>
      <c r="H87" s="46">
        <f t="shared" si="3"/>
        <v>20000000</v>
      </c>
      <c r="I87" s="1">
        <f t="shared" si="2"/>
        <v>1938500</v>
      </c>
    </row>
    <row r="88" spans="1:9" ht="15.75">
      <c r="A88" s="646" t="s">
        <v>44</v>
      </c>
      <c r="B88" s="15" t="s">
        <v>193</v>
      </c>
      <c r="C88" s="14"/>
      <c r="D88" s="24">
        <f>SUBTOTAL(109,D84:D87)</f>
        <v>1303598852</v>
      </c>
      <c r="E88" s="24">
        <f>SUBTOTAL(109,E84:E87)</f>
        <v>1080841452.06</v>
      </c>
      <c r="F88" s="24">
        <f>SUBTOTAL(109,F84:F87)</f>
        <v>1308598852</v>
      </c>
      <c r="G88" s="24">
        <f>SUBTOTAL(109,G84:G87)</f>
        <v>0</v>
      </c>
      <c r="H88" s="24">
        <f>SUBTOTAL(109,H84:H87)</f>
        <v>1308598852</v>
      </c>
      <c r="I88" s="618">
        <f t="shared" si="2"/>
        <v>227757399.94000006</v>
      </c>
    </row>
    <row r="89" spans="1:9" ht="15.75">
      <c r="A89" s="645" t="s">
        <v>44</v>
      </c>
      <c r="B89" s="29">
        <v>2123</v>
      </c>
      <c r="C89" s="14" t="s">
        <v>619</v>
      </c>
      <c r="D89" s="17">
        <f>'prévision 2017'!G286</f>
        <v>150000000</v>
      </c>
      <c r="E89" s="17">
        <f>'prévision 2017'!H286</f>
        <v>8907000</v>
      </c>
      <c r="F89" s="17">
        <f>'prévision 2017'!I286</f>
        <v>150000000</v>
      </c>
      <c r="G89" s="17">
        <f>'prévision 2017'!J286</f>
        <v>0</v>
      </c>
      <c r="H89" s="46">
        <f t="shared" si="3"/>
        <v>150000000</v>
      </c>
      <c r="I89" s="1">
        <f t="shared" si="2"/>
        <v>141093000</v>
      </c>
    </row>
    <row r="90" spans="1:9" ht="15.75">
      <c r="A90" s="646" t="s">
        <v>44</v>
      </c>
      <c r="B90" s="189">
        <v>2163</v>
      </c>
      <c r="C90" s="14" t="s">
        <v>656</v>
      </c>
      <c r="D90" s="17">
        <f>'prévision 2017'!G252</f>
        <v>600000000</v>
      </c>
      <c r="E90" s="17">
        <f>'prévision 2017'!H252</f>
        <v>0</v>
      </c>
      <c r="F90" s="17">
        <f>'prévision 2017'!I252</f>
        <v>600000000</v>
      </c>
      <c r="G90" s="17">
        <f>'prévision 2017'!J252</f>
        <v>-600000000</v>
      </c>
      <c r="H90" s="46">
        <f t="shared" si="3"/>
        <v>0</v>
      </c>
      <c r="I90" s="1">
        <f t="shared" si="2"/>
        <v>0</v>
      </c>
    </row>
    <row r="91" spans="1:9" ht="15.75">
      <c r="A91" s="646" t="s">
        <v>44</v>
      </c>
      <c r="B91" s="15" t="s">
        <v>194</v>
      </c>
      <c r="C91" s="14"/>
      <c r="D91" s="24">
        <f>SUBTOTAL(109,D89:D90)</f>
        <v>750000000</v>
      </c>
      <c r="E91" s="24">
        <f>SUBTOTAL(109,E89:E90)</f>
        <v>8907000</v>
      </c>
      <c r="F91" s="24">
        <f>SUBTOTAL(109,F89:F90)</f>
        <v>750000000</v>
      </c>
      <c r="G91" s="24">
        <f>SUBTOTAL(109,G89:G90)</f>
        <v>-600000000</v>
      </c>
      <c r="H91" s="24">
        <f>SUBTOTAL(109,H89:H90)</f>
        <v>150000000</v>
      </c>
      <c r="I91" s="618">
        <f t="shared" si="2"/>
        <v>141093000</v>
      </c>
    </row>
    <row r="92" spans="1:9" ht="15.75">
      <c r="A92" s="645" t="s">
        <v>44</v>
      </c>
      <c r="B92" s="22" t="s">
        <v>72</v>
      </c>
      <c r="C92" s="14"/>
      <c r="D92" s="632">
        <f>D91+D88+D83+D78</f>
        <v>2405559481.3</v>
      </c>
      <c r="E92" s="632">
        <f>E91+E88+E83+E78</f>
        <v>1424923411.77</v>
      </c>
      <c r="F92" s="632">
        <f>F91+F88+F83+F78</f>
        <v>2410559481.3</v>
      </c>
      <c r="G92" s="24">
        <f>G91+G88+G83+G78</f>
        <v>-600000000</v>
      </c>
      <c r="H92" s="24">
        <f>H91+H88+H83+H78</f>
        <v>1810559481.3</v>
      </c>
      <c r="I92" s="618">
        <f t="shared" si="2"/>
        <v>385636069.53</v>
      </c>
    </row>
    <row r="93" spans="1:9" ht="18.75">
      <c r="A93" s="30" t="s">
        <v>64</v>
      </c>
      <c r="B93" s="619" t="s">
        <v>634</v>
      </c>
      <c r="C93" s="14"/>
      <c r="D93" s="17"/>
      <c r="E93" s="17"/>
      <c r="F93" s="17"/>
      <c r="H93" s="46"/>
      <c r="I93" s="1">
        <f t="shared" si="2"/>
        <v>0</v>
      </c>
    </row>
    <row r="94" spans="1:9" ht="15.75">
      <c r="A94" s="11" t="s">
        <v>64</v>
      </c>
      <c r="B94" s="29">
        <v>6611</v>
      </c>
      <c r="C94" s="14" t="s">
        <v>6</v>
      </c>
      <c r="D94" s="17">
        <f>'prévision 2017'!G294+'prévision 2017'!G302+'prévision 2017'!G309+'prévision 2017'!G316+'prévision 2017'!G325+'prévision 2017'!G330+'prévision 2017'!G362+'prévision 2017'!G369+'prévision 2017'!G380+'prévision 2017'!G385+'prévision 2017'!G390</f>
        <v>841593922</v>
      </c>
      <c r="E94" s="17">
        <f>'prévision 2017'!H294+'prévision 2017'!H302+'prévision 2017'!H309+'prévision 2017'!H316+'prévision 2017'!H325+'prévision 2017'!H330+'prévision 2017'!H362+'prévision 2017'!H369+'prévision 2017'!H380+'prévision 2017'!H385+'prévision 2017'!H390</f>
        <v>766767370.3000002</v>
      </c>
      <c r="F94" s="17">
        <f>'prévision 2017'!I294+'prévision 2017'!I302+'prévision 2017'!I309+'prévision 2017'!I316+'prévision 2017'!I325+'prévision 2017'!I330+'prévision 2017'!I362+'prévision 2017'!I369+'prévision 2017'!I380+'prévision 2017'!I385+'prévision 2017'!I390</f>
        <v>841593922</v>
      </c>
      <c r="G94" s="17">
        <f>'prévision 2017'!J294+'prévision 2017'!J302+'prévision 2017'!J309+'prévision 2017'!J316+'prévision 2017'!J325+'prévision 2017'!J330+'prévision 2017'!J362+'prévision 2017'!J369+'prévision 2017'!J380+'prévision 2017'!J385+'prévision 2017'!J390</f>
        <v>0</v>
      </c>
      <c r="H94" s="46">
        <f t="shared" si="3"/>
        <v>841593922</v>
      </c>
      <c r="I94" s="1">
        <f t="shared" si="2"/>
        <v>74826551.69999981</v>
      </c>
    </row>
    <row r="95" spans="1:9" ht="15.75">
      <c r="A95" s="30" t="s">
        <v>64</v>
      </c>
      <c r="B95" s="23" t="s">
        <v>192</v>
      </c>
      <c r="C95" s="14"/>
      <c r="D95" s="24">
        <f>SUBTOTAL(109,D94:D94)</f>
        <v>841593922</v>
      </c>
      <c r="E95" s="24">
        <f>SUBTOTAL(109,E94:E94)</f>
        <v>766767370.3000002</v>
      </c>
      <c r="F95" s="24">
        <f>SUBTOTAL(109,F94:F94)</f>
        <v>841593922</v>
      </c>
      <c r="G95" s="24">
        <f>SUBTOTAL(109,G94:G94)</f>
        <v>0</v>
      </c>
      <c r="H95" s="46">
        <f t="shared" si="3"/>
        <v>841593922</v>
      </c>
      <c r="I95" s="1">
        <f t="shared" si="2"/>
        <v>74826551.69999981</v>
      </c>
    </row>
    <row r="96" spans="1:9" ht="15.75">
      <c r="A96" s="11" t="s">
        <v>64</v>
      </c>
      <c r="B96" s="43">
        <v>60100</v>
      </c>
      <c r="C96" s="14" t="s">
        <v>7</v>
      </c>
      <c r="D96" s="17">
        <f>'prévision 2017'!G296+'prévision 2017'!G303+'prévision 2017'!G310+'prévision 2017'!G317+'prévision 2017'!G326+'prévision 2017'!G331+'prévision 2017'!G335+'prévision 2017'!G339+'prévision 2017'!G343+'prévision 2017'!G347+'prévision 2017'!G351+'prévision 2017'!G358+'prévision 2017'!G363+'prévision 2017'!G370+'prévision 2017'!G376+'prévision 2017'!G381+'prévision 2017'!G386+'prévision 2017'!G391</f>
        <v>13860939</v>
      </c>
      <c r="E96" s="17">
        <f>'prévision 2017'!H296+'prévision 2017'!H303+'prévision 2017'!H310+'prévision 2017'!H317+'prévision 2017'!H326+'prévision 2017'!H331+'prévision 2017'!H335+'prévision 2017'!H339+'prévision 2017'!H343+'prévision 2017'!H347+'prévision 2017'!H351+'prévision 2017'!H358+'prévision 2017'!H363+'prévision 2017'!H370+'prévision 2017'!H376+'prévision 2017'!H381+'prévision 2017'!H386+'prévision 2017'!H391</f>
        <v>3700862</v>
      </c>
      <c r="F96" s="17">
        <f>'prévision 2017'!I296+'prévision 2017'!I303+'prévision 2017'!I310+'prévision 2017'!I317+'prévision 2017'!I326+'prévision 2017'!I331+'prévision 2017'!I335+'prévision 2017'!I339+'prévision 2017'!I343+'prévision 2017'!I347+'prévision 2017'!I351+'prévision 2017'!I358+'prévision 2017'!I363+'prévision 2017'!I370+'prévision 2017'!I376+'prévision 2017'!I381+'prévision 2017'!I386+'prévision 2017'!I391</f>
        <v>13860939</v>
      </c>
      <c r="G96" s="17">
        <f>'prévision 2017'!J296+'prévision 2017'!J303+'prévision 2017'!J310+'prévision 2017'!J317+'prévision 2017'!J326+'prévision 2017'!J331+'prévision 2017'!J335+'prévision 2017'!J339+'prévision 2017'!J343+'prévision 2017'!J347+'prévision 2017'!J351+'prévision 2017'!J358+'prévision 2017'!J363+'prévision 2017'!J370+'prévision 2017'!J376+'prévision 2017'!J381+'prévision 2017'!J386+'prévision 2017'!J391</f>
        <v>0</v>
      </c>
      <c r="H96" s="46">
        <f t="shared" si="3"/>
        <v>13860939</v>
      </c>
      <c r="I96" s="1">
        <f t="shared" si="2"/>
        <v>10160077</v>
      </c>
    </row>
    <row r="97" spans="1:9" ht="15.75">
      <c r="A97" s="11" t="s">
        <v>64</v>
      </c>
      <c r="B97" s="43">
        <v>60101</v>
      </c>
      <c r="C97" s="14" t="s">
        <v>255</v>
      </c>
      <c r="D97" s="17">
        <f>'prévision 2017'!G297+'prévision 2017'!G304+'prévision 2017'!G364</f>
        <v>474700</v>
      </c>
      <c r="E97" s="17">
        <f>'prévision 2017'!H297+'prévision 2017'!H304+'prévision 2017'!H364</f>
        <v>0</v>
      </c>
      <c r="F97" s="17">
        <f>'prévision 2017'!I297+'prévision 2017'!I304+'prévision 2017'!I364</f>
        <v>474700</v>
      </c>
      <c r="G97" s="17">
        <f>'prévision 2017'!J297+'prévision 2017'!J304+'prévision 2017'!J364</f>
        <v>0</v>
      </c>
      <c r="H97" s="46">
        <f t="shared" si="3"/>
        <v>474700</v>
      </c>
      <c r="I97" s="1">
        <f t="shared" si="2"/>
        <v>474700</v>
      </c>
    </row>
    <row r="98" spans="1:9" ht="15.75">
      <c r="A98" s="198" t="s">
        <v>64</v>
      </c>
      <c r="B98" s="28">
        <v>6021</v>
      </c>
      <c r="C98" s="14" t="s">
        <v>298</v>
      </c>
      <c r="D98" s="17">
        <f>'prévision 2017'!G312</f>
        <v>60000000</v>
      </c>
      <c r="E98" s="17">
        <f>'prévision 2017'!H312</f>
        <v>45000000</v>
      </c>
      <c r="F98" s="17">
        <f>'prévision 2017'!I312</f>
        <v>60000000</v>
      </c>
      <c r="G98" s="17">
        <f>'prévision 2017'!J312</f>
        <v>0</v>
      </c>
      <c r="H98" s="46">
        <f t="shared" si="3"/>
        <v>60000000</v>
      </c>
      <c r="I98" s="1">
        <f t="shared" si="2"/>
        <v>15000000</v>
      </c>
    </row>
    <row r="99" spans="1:9" ht="15.75">
      <c r="A99" s="30" t="s">
        <v>64</v>
      </c>
      <c r="B99" s="185">
        <v>6122</v>
      </c>
      <c r="C99" s="14" t="s">
        <v>582</v>
      </c>
      <c r="D99" s="17">
        <f>'prévision 2017'!G298+'prévision 2017'!G305+'prévision 2017'!G311+'prévision 2017'!G318+'prévision 2017'!G327+'prévision 2017'!G332+'prévision 2017'!G336+'prévision 2017'!G340+'prévision 2017'!G344+'prévision 2017'!G348+'prévision 2017'!G354+'prévision 2017'!G359+'prévision 2017'!G366+'prévision 2017'!G371+'prévision 2017'!G377+'prévision 2017'!G382+'prévision 2017'!G387+'prévision 2017'!G394</f>
        <v>9694078</v>
      </c>
      <c r="E99" s="17">
        <f>'prévision 2017'!H298+'prévision 2017'!H305+'prévision 2017'!H311+'prévision 2017'!H318+'prévision 2017'!H327+'prévision 2017'!H332+'prévision 2017'!H336+'prévision 2017'!H340+'prévision 2017'!H344+'prévision 2017'!H348+'prévision 2017'!H354+'prévision 2017'!H359+'prévision 2017'!H366+'prévision 2017'!H371+'prévision 2017'!H377+'prévision 2017'!H382+'prévision 2017'!H387+'prévision 2017'!H394</f>
        <v>3889347</v>
      </c>
      <c r="F99" s="17">
        <f>'prévision 2017'!I298+'prévision 2017'!I305+'prévision 2017'!I311+'prévision 2017'!I318+'prévision 2017'!I327+'prévision 2017'!I332+'prévision 2017'!I336+'prévision 2017'!I340+'prévision 2017'!I344+'prévision 2017'!I348+'prévision 2017'!I354+'prévision 2017'!I359+'prévision 2017'!I366+'prévision 2017'!I371+'prévision 2017'!I377+'prévision 2017'!I382+'prévision 2017'!I387+'prévision 2017'!I394</f>
        <v>9694078</v>
      </c>
      <c r="G99" s="17">
        <f>'prévision 2017'!J298+'prévision 2017'!J305+'prévision 2017'!J311+'prévision 2017'!J318+'prévision 2017'!J327+'prévision 2017'!J332+'prévision 2017'!J336+'prévision 2017'!J340+'prévision 2017'!J344+'prévision 2017'!J348+'prévision 2017'!J354+'prévision 2017'!J359+'prévision 2017'!J366+'prévision 2017'!J371+'prévision 2017'!J377+'prévision 2017'!J382+'prévision 2017'!J387+'prévision 2017'!J394</f>
        <v>0</v>
      </c>
      <c r="H99" s="46">
        <f t="shared" si="3"/>
        <v>9694078</v>
      </c>
      <c r="I99" s="1">
        <f t="shared" si="2"/>
        <v>5804731</v>
      </c>
    </row>
    <row r="100" spans="1:9" ht="15.75">
      <c r="A100" s="11" t="s">
        <v>64</v>
      </c>
      <c r="B100" s="29">
        <v>6133</v>
      </c>
      <c r="C100" s="14" t="s">
        <v>79</v>
      </c>
      <c r="D100" s="17">
        <f>'prévision 2017'!G372</f>
        <v>474700</v>
      </c>
      <c r="E100" s="17">
        <f>'prévision 2017'!H372</f>
        <v>474700</v>
      </c>
      <c r="F100" s="17">
        <f>'prévision 2017'!I372</f>
        <v>474700</v>
      </c>
      <c r="G100" s="17">
        <f>'prévision 2017'!J372</f>
        <v>0</v>
      </c>
      <c r="H100" s="46">
        <f t="shared" si="3"/>
        <v>474700</v>
      </c>
      <c r="I100" s="1">
        <f t="shared" si="2"/>
        <v>0</v>
      </c>
    </row>
    <row r="101" spans="1:9" ht="15.75">
      <c r="A101" s="30" t="s">
        <v>64</v>
      </c>
      <c r="B101" s="28">
        <v>6173</v>
      </c>
      <c r="C101" s="14" t="s">
        <v>247</v>
      </c>
      <c r="D101" s="17">
        <f>'prévision 2017'!G396</f>
        <v>0</v>
      </c>
      <c r="E101" s="17">
        <f>'prévision 2017'!H396</f>
        <v>0</v>
      </c>
      <c r="F101" s="17">
        <f>'prévision 2017'!I396</f>
        <v>0</v>
      </c>
      <c r="G101" s="17">
        <f>'prévision 2017'!J396</f>
        <v>0</v>
      </c>
      <c r="H101" s="46">
        <f t="shared" si="3"/>
        <v>0</v>
      </c>
      <c r="I101" s="1">
        <f t="shared" si="2"/>
        <v>0</v>
      </c>
    </row>
    <row r="102" spans="1:9" ht="15.75">
      <c r="A102" s="30" t="s">
        <v>64</v>
      </c>
      <c r="B102" s="28">
        <v>6175</v>
      </c>
      <c r="C102" s="14" t="s">
        <v>13</v>
      </c>
      <c r="D102" s="17">
        <f>'prévision 2017'!G299+'prévision 2017'!G306+'prévision 2017'!G321+'prévision 2017'!G398</f>
        <v>1880000</v>
      </c>
      <c r="E102" s="17">
        <f>'prévision 2017'!H299+'prévision 2017'!H306+'prévision 2017'!H321+'prévision 2017'!H398</f>
        <v>1410000</v>
      </c>
      <c r="F102" s="17">
        <f>'prévision 2017'!I299+'prévision 2017'!I306+'prévision 2017'!I321+'prévision 2017'!I398</f>
        <v>1880000</v>
      </c>
      <c r="G102" s="17">
        <f>'prévision 2017'!J299+'prévision 2017'!J306+'prévision 2017'!J321+'prévision 2017'!J398</f>
        <v>0</v>
      </c>
      <c r="H102" s="46">
        <f t="shared" si="3"/>
        <v>1880000</v>
      </c>
      <c r="I102" s="1">
        <f t="shared" si="2"/>
        <v>470000</v>
      </c>
    </row>
    <row r="103" spans="1:9" ht="15.75">
      <c r="A103" s="30" t="s">
        <v>64</v>
      </c>
      <c r="B103" s="15" t="s">
        <v>191</v>
      </c>
      <c r="C103" s="14"/>
      <c r="D103" s="24">
        <f>SUBTOTAL(109,D96:D102)</f>
        <v>86384417</v>
      </c>
      <c r="E103" s="24">
        <f>SUBTOTAL(109,E96:E102)</f>
        <v>54474909</v>
      </c>
      <c r="F103" s="24">
        <f>SUBTOTAL(109,F96:F102)</f>
        <v>86384417</v>
      </c>
      <c r="G103" s="24">
        <f>SUBTOTAL(109,G96:G102)</f>
        <v>0</v>
      </c>
      <c r="H103" s="24">
        <f>SUBTOTAL(109,H96:H102)</f>
        <v>86384417</v>
      </c>
      <c r="I103" s="1">
        <f t="shared" si="2"/>
        <v>31909508</v>
      </c>
    </row>
    <row r="104" spans="1:9" ht="15.75">
      <c r="A104" s="11" t="s">
        <v>64</v>
      </c>
      <c r="B104" s="29">
        <v>6381</v>
      </c>
      <c r="C104" s="14" t="s">
        <v>274</v>
      </c>
      <c r="D104" s="17">
        <f>'prévision 2017'!G373</f>
        <v>28724040</v>
      </c>
      <c r="E104" s="17">
        <f>'prévision 2017'!H373</f>
        <v>28720000</v>
      </c>
      <c r="F104" s="17">
        <f>'prévision 2017'!I373</f>
        <v>28724040</v>
      </c>
      <c r="G104" s="17">
        <f>'prévision 2017'!J373</f>
        <v>0</v>
      </c>
      <c r="H104" s="46">
        <f t="shared" si="3"/>
        <v>28724040</v>
      </c>
      <c r="I104" s="1">
        <f t="shared" si="2"/>
        <v>4040</v>
      </c>
    </row>
    <row r="105" spans="1:9" ht="15.75">
      <c r="A105" s="30" t="s">
        <v>64</v>
      </c>
      <c r="B105" s="15" t="s">
        <v>193</v>
      </c>
      <c r="C105" s="14"/>
      <c r="D105" s="24">
        <f>SUBTOTAL(109,D104:D104)</f>
        <v>28724040</v>
      </c>
      <c r="E105" s="24">
        <f>SUBTOTAL(109,E104:E104)</f>
        <v>28720000</v>
      </c>
      <c r="F105" s="24">
        <f>SUBTOTAL(109,F104:F104)</f>
        <v>28724040</v>
      </c>
      <c r="G105" s="24">
        <f>SUBTOTAL(109,G104:G104)</f>
        <v>0</v>
      </c>
      <c r="H105" s="24">
        <f>SUBTOTAL(109,H104:H104)</f>
        <v>28724040</v>
      </c>
      <c r="I105" s="1">
        <f t="shared" si="2"/>
        <v>4040</v>
      </c>
    </row>
    <row r="106" spans="1:9" ht="15.75">
      <c r="A106" s="30" t="s">
        <v>64</v>
      </c>
      <c r="B106" s="29">
        <v>2121</v>
      </c>
      <c r="C106" s="14" t="s">
        <v>63</v>
      </c>
      <c r="D106" s="17">
        <f>'prévision 2017'!G402</f>
        <v>83623400</v>
      </c>
      <c r="E106" s="17">
        <f>'prévision 2017'!H402</f>
        <v>5781500</v>
      </c>
      <c r="F106" s="17">
        <f>'prévision 2017'!I402</f>
        <v>83623400</v>
      </c>
      <c r="G106" s="17">
        <f>'prévision 2017'!J402</f>
        <v>0</v>
      </c>
      <c r="H106" s="46">
        <f t="shared" si="3"/>
        <v>83623400</v>
      </c>
      <c r="I106" s="1">
        <f t="shared" si="2"/>
        <v>77841900</v>
      </c>
    </row>
    <row r="107" spans="1:9" ht="15.75">
      <c r="A107" s="209" t="s">
        <v>64</v>
      </c>
      <c r="B107" s="188">
        <v>2164</v>
      </c>
      <c r="C107" s="14" t="s">
        <v>340</v>
      </c>
      <c r="D107" s="17">
        <f>'prévision 2017'!G403</f>
        <v>596500000</v>
      </c>
      <c r="E107" s="17">
        <f>'prévision 2017'!H403</f>
        <v>0</v>
      </c>
      <c r="F107" s="17">
        <f>'prévision 2017'!I403</f>
        <v>0</v>
      </c>
      <c r="G107" s="17">
        <f>'prévision 2017'!J403</f>
        <v>0</v>
      </c>
      <c r="H107" s="46">
        <f t="shared" si="3"/>
        <v>0</v>
      </c>
      <c r="I107" s="1">
        <f t="shared" si="2"/>
        <v>0</v>
      </c>
    </row>
    <row r="108" spans="1:9" ht="15.75">
      <c r="A108" s="30" t="s">
        <v>64</v>
      </c>
      <c r="B108" s="15" t="s">
        <v>194</v>
      </c>
      <c r="C108" s="14"/>
      <c r="D108" s="24">
        <f>SUBTOTAL(109,D106:D107)</f>
        <v>680123400</v>
      </c>
      <c r="E108" s="24">
        <f>SUBTOTAL(109,E106:E106)</f>
        <v>5781500</v>
      </c>
      <c r="F108" s="24">
        <f>SUBTOTAL(109,F106:F107)</f>
        <v>83623400</v>
      </c>
      <c r="G108" s="24">
        <f>SUBTOTAL(109,G106:G107)</f>
        <v>0</v>
      </c>
      <c r="H108" s="24">
        <f>SUBTOTAL(109,H106:H107)</f>
        <v>83623400</v>
      </c>
      <c r="I108" s="1">
        <f t="shared" si="2"/>
        <v>77841900</v>
      </c>
    </row>
    <row r="109" spans="1:9" ht="15.75">
      <c r="A109" s="11" t="s">
        <v>64</v>
      </c>
      <c r="B109" s="22" t="s">
        <v>72</v>
      </c>
      <c r="C109" s="14"/>
      <c r="D109" s="24">
        <f>D105+D103+D95+D108</f>
        <v>1636825779</v>
      </c>
      <c r="E109" s="632">
        <f>E105+E103+E95+E108</f>
        <v>855743779.3000002</v>
      </c>
      <c r="F109" s="24">
        <f>F105+F103+F95+F108</f>
        <v>1040325779</v>
      </c>
      <c r="G109" s="24">
        <f>G105+G103+G95+G108</f>
        <v>0</v>
      </c>
      <c r="H109" s="24">
        <f>H105+H103+H95+H108</f>
        <v>1040325779</v>
      </c>
      <c r="I109" s="1">
        <f t="shared" si="2"/>
        <v>184581999.6999998</v>
      </c>
    </row>
    <row r="110" spans="1:9" ht="16.5">
      <c r="A110" s="30" t="s">
        <v>81</v>
      </c>
      <c r="B110" s="149" t="s">
        <v>635</v>
      </c>
      <c r="C110" s="14"/>
      <c r="D110" s="17"/>
      <c r="E110" s="17"/>
      <c r="F110" s="17"/>
      <c r="H110" s="46"/>
      <c r="I110" s="1">
        <f t="shared" si="2"/>
        <v>0</v>
      </c>
    </row>
    <row r="111" spans="1:9" ht="15.75">
      <c r="A111" s="11" t="s">
        <v>81</v>
      </c>
      <c r="B111" s="29">
        <v>6611</v>
      </c>
      <c r="C111" s="14" t="s">
        <v>6</v>
      </c>
      <c r="D111" s="17">
        <f>'prévision 2017'!G408+'prévision 2017'!G421+'prévision 2017'!G429+'prévision 2017'!G434+'prévision 2017'!G440+'prévision 2017'!G444+'prévision 2017'!G449+'prévision 2017'!G454+'prévision 2017'!G459+'prévision 2017'!G464+'prévision 2017'!G468+'prévision 2017'!G472+'prévision 2017'!G477+'prévision 2017'!G482+'prévision 2017'!G487+'prévision 2017'!G491+'prévision 2017'!G496+'prévision 2017'!G504+'prévision 2017'!G509+'prévision 2017'!G514+'prévision 2017'!G519+'prévision 2017'!G524</f>
        <v>1180157673</v>
      </c>
      <c r="E111" s="17">
        <f>'prévision 2017'!H408+'prévision 2017'!H421+'prévision 2017'!H429+'prévision 2017'!H434+'prévision 2017'!H440+'prévision 2017'!H444+'prévision 2017'!H449+'prévision 2017'!H454+'prévision 2017'!H459+'prévision 2017'!H464+'prévision 2017'!H468+'prévision 2017'!H472+'prévision 2017'!H477+'prévision 2017'!H482+'prévision 2017'!H487+'prévision 2017'!H491+'prévision 2017'!H496+'prévision 2017'!H504+'prévision 2017'!H509+'prévision 2017'!H514+'prévision 2017'!H519+'prévision 2017'!H524</f>
        <v>1178092808.8800004</v>
      </c>
      <c r="F111" s="17">
        <f>'prévision 2017'!I408+'prévision 2017'!I421+'prévision 2017'!I429+'prévision 2017'!I434+'prévision 2017'!I440+'prévision 2017'!I444+'prévision 2017'!I449+'prévision 2017'!I454+'prévision 2017'!I459+'prévision 2017'!I464+'prévision 2017'!I468+'prévision 2017'!I472+'prévision 2017'!I477+'prévision 2017'!I482+'prévision 2017'!I487+'prévision 2017'!I491+'prévision 2017'!I496+'prévision 2017'!I504+'prévision 2017'!I509+'prévision 2017'!I514+'prévision 2017'!I519+'prévision 2017'!I524</f>
        <v>1180157673</v>
      </c>
      <c r="G111" s="17">
        <f>'prévision 2017'!J408+'prévision 2017'!J421+'prévision 2017'!J429+'prévision 2017'!J434+'prévision 2017'!J440+'prévision 2017'!J444+'prévision 2017'!J449+'prévision 2017'!J454+'prévision 2017'!J459+'prévision 2017'!J464+'prévision 2017'!J468+'prévision 2017'!J472+'prévision 2017'!J477+'prévision 2017'!J482+'prévision 2017'!J487+'prévision 2017'!J491+'prévision 2017'!J496+'prévision 2017'!J504+'prévision 2017'!J509+'prévision 2017'!J514+'prévision 2017'!J519+'prévision 2017'!J524</f>
        <v>0</v>
      </c>
      <c r="H111" s="46">
        <f t="shared" si="3"/>
        <v>1180157673</v>
      </c>
      <c r="I111" s="1">
        <f t="shared" si="2"/>
        <v>2064864.1199996471</v>
      </c>
    </row>
    <row r="112" spans="1:9" ht="15.75">
      <c r="A112" s="30" t="s">
        <v>81</v>
      </c>
      <c r="B112" s="23" t="s">
        <v>192</v>
      </c>
      <c r="C112" s="14"/>
      <c r="D112" s="24">
        <f>SUBTOTAL(109,D111:D111)</f>
        <v>1180157673</v>
      </c>
      <c r="E112" s="24">
        <f>SUBTOTAL(109,E111:E111)</f>
        <v>1178092808.8800004</v>
      </c>
      <c r="F112" s="24">
        <f>SUBTOTAL(109,F111:F111)</f>
        <v>1180157673</v>
      </c>
      <c r="G112" s="24">
        <f>SUBTOTAL(109,G111:G111)</f>
        <v>0</v>
      </c>
      <c r="H112" s="24">
        <f>SUBTOTAL(109,H111:H111)</f>
        <v>1180157673</v>
      </c>
      <c r="I112" s="1">
        <f t="shared" si="2"/>
        <v>2064864.1199996471</v>
      </c>
    </row>
    <row r="113" spans="1:9" ht="15.75">
      <c r="A113" s="11" t="s">
        <v>81</v>
      </c>
      <c r="B113" s="43">
        <v>60100</v>
      </c>
      <c r="C113" s="14" t="s">
        <v>34</v>
      </c>
      <c r="D113" s="17">
        <f>'prévision 2017'!G409+'prévision 2017'!G422+'prévision 2017'!G530</f>
        <v>3903000</v>
      </c>
      <c r="E113" s="17">
        <f>'prévision 2017'!H409+'prévision 2017'!H422+'prévision 2017'!H530</f>
        <v>2749550</v>
      </c>
      <c r="F113" s="17">
        <f>'prévision 2017'!I409+'prévision 2017'!I422+'prévision 2017'!I530</f>
        <v>3903000</v>
      </c>
      <c r="G113" s="17">
        <f>'prévision 2017'!J409+'prévision 2017'!J422+'prévision 2017'!J530</f>
        <v>0</v>
      </c>
      <c r="H113" s="46">
        <f t="shared" si="3"/>
        <v>3903000</v>
      </c>
      <c r="I113" s="1">
        <f t="shared" si="2"/>
        <v>1153450</v>
      </c>
    </row>
    <row r="114" spans="1:9" ht="15.75">
      <c r="A114" s="30" t="s">
        <v>81</v>
      </c>
      <c r="B114" s="185">
        <v>6122</v>
      </c>
      <c r="C114" s="14" t="s">
        <v>582</v>
      </c>
      <c r="D114" s="17">
        <f>'prévision 2017'!G410+'prévision 2017'!G424+'prévision 2017'!G531</f>
        <v>2906000</v>
      </c>
      <c r="E114" s="17">
        <f>'prévision 2017'!H410+'prévision 2017'!H424+'prévision 2017'!H531</f>
        <v>1879500</v>
      </c>
      <c r="F114" s="17">
        <f>'prévision 2017'!I410+'prévision 2017'!I424+'prévision 2017'!I531</f>
        <v>2906000</v>
      </c>
      <c r="G114" s="17">
        <f>'prévision 2017'!J410+'prévision 2017'!J424+'prévision 2017'!J531</f>
        <v>0</v>
      </c>
      <c r="H114" s="46">
        <f t="shared" si="3"/>
        <v>2906000</v>
      </c>
      <c r="I114" s="1">
        <f t="shared" si="2"/>
        <v>1026500</v>
      </c>
    </row>
    <row r="115" spans="1:9" ht="15.75">
      <c r="A115" s="45" t="s">
        <v>81</v>
      </c>
      <c r="B115" s="28">
        <v>6143</v>
      </c>
      <c r="C115" s="14" t="s">
        <v>299</v>
      </c>
      <c r="D115" s="17">
        <f>'prévision 2017'!G413+'prévision 2017'!G425+'prévision 2017'!G430+'prévision 2017'!G435+'prévision 2017'!G445+'prévision 2017'!G455+'prévision 2017'!G460</f>
        <v>1000000</v>
      </c>
      <c r="E115" s="17">
        <f>'prévision 2017'!H413+'prévision 2017'!H425+'prévision 2017'!H430+'prévision 2017'!H435+'prévision 2017'!H445+'prévision 2017'!H455+'prévision 2017'!H460</f>
        <v>0</v>
      </c>
      <c r="F115" s="17">
        <f>'prévision 2017'!I413+'prévision 2017'!I425+'prévision 2017'!I430+'prévision 2017'!I435+'prévision 2017'!I445+'prévision 2017'!I455+'prévision 2017'!I460</f>
        <v>1000000</v>
      </c>
      <c r="G115" s="17">
        <f>'prévision 2017'!J413+'prévision 2017'!J425+'prévision 2017'!J430+'prévision 2017'!J435+'prévision 2017'!J445+'prévision 2017'!J455+'prévision 2017'!J460</f>
        <v>0</v>
      </c>
      <c r="H115" s="46">
        <f t="shared" si="3"/>
        <v>1000000</v>
      </c>
      <c r="I115" s="1">
        <f t="shared" si="2"/>
        <v>1000000</v>
      </c>
    </row>
    <row r="116" spans="1:9" ht="15.75">
      <c r="A116" s="30" t="s">
        <v>81</v>
      </c>
      <c r="B116" s="36">
        <v>6173</v>
      </c>
      <c r="C116" s="14" t="s">
        <v>19</v>
      </c>
      <c r="D116" s="17">
        <f>'prévision 2017'!G417+'prévision 2017'!G431+'prévision 2017'!G437+'prévision 2017'!G441+'prévision 2017'!G446+'prévision 2017'!G451+'prévision 2017'!G456+'prévision 2017'!G461+'prévision 2017'!G465+'prévision 2017'!G469+'prévision 2017'!G474+'prévision 2017'!G479+'prévision 2017'!G484+'prévision 2017'!G488+'prévision 2017'!G493+'prévision 2017'!G499+'prévision 2017'!G506+'prévision 2017'!G511+'prévision 2017'!G516</f>
        <v>93358000</v>
      </c>
      <c r="E116" s="17">
        <f>'prévision 2017'!H417+'prévision 2017'!H431+'prévision 2017'!H437+'prévision 2017'!H441+'prévision 2017'!H446+'prévision 2017'!H451+'prévision 2017'!H456+'prévision 2017'!H461+'prévision 2017'!H465+'prévision 2017'!H469+'prévision 2017'!H474+'prévision 2017'!H479+'prévision 2017'!H484+'prévision 2017'!H488+'prévision 2017'!H493+'prévision 2017'!H499+'prévision 2017'!H506+'prévision 2017'!H511+'prévision 2017'!H516</f>
        <v>67843450</v>
      </c>
      <c r="F116" s="17">
        <f>'prévision 2017'!I417+'prévision 2017'!I431+'prévision 2017'!I437+'prévision 2017'!I441+'prévision 2017'!I446+'prévision 2017'!I451+'prévision 2017'!I456+'prévision 2017'!I461+'prévision 2017'!I465+'prévision 2017'!I469+'prévision 2017'!I474+'prévision 2017'!I479+'prévision 2017'!I484+'prévision 2017'!I488+'prévision 2017'!I493+'prévision 2017'!I499+'prévision 2017'!I506+'prévision 2017'!I511+'prévision 2017'!I516</f>
        <v>93358000</v>
      </c>
      <c r="G116" s="17">
        <f>'prévision 2017'!J417+'prévision 2017'!J431+'prévision 2017'!J437+'prévision 2017'!J441+'prévision 2017'!J446+'prévision 2017'!J451+'prévision 2017'!J456+'prévision 2017'!J461+'prévision 2017'!J465+'prévision 2017'!J469+'prévision 2017'!J474+'prévision 2017'!J479+'prévision 2017'!J484+'prévision 2017'!J488+'prévision 2017'!J493+'prévision 2017'!J499+'prévision 2017'!J506+'prévision 2017'!J511+'prévision 2017'!J516</f>
        <v>0</v>
      </c>
      <c r="H116" s="46">
        <f t="shared" si="3"/>
        <v>93358000</v>
      </c>
      <c r="I116" s="1">
        <f t="shared" si="2"/>
        <v>25514550</v>
      </c>
    </row>
    <row r="117" spans="1:9" ht="15.75">
      <c r="A117" s="30" t="s">
        <v>81</v>
      </c>
      <c r="B117" s="28">
        <v>6175</v>
      </c>
      <c r="C117" s="14" t="s">
        <v>13</v>
      </c>
      <c r="D117" s="17">
        <f>'prévision 2017'!G418+'prévision 2017'!G426+'prévision 2017'!G532</f>
        <v>2504000</v>
      </c>
      <c r="E117" s="17">
        <f>'prévision 2017'!H418+'prévision 2017'!H426+'prévision 2017'!H532</f>
        <v>934850</v>
      </c>
      <c r="F117" s="17">
        <f>'prévision 2017'!I418+'prévision 2017'!I426+'prévision 2017'!I532</f>
        <v>2504000</v>
      </c>
      <c r="G117" s="17">
        <f>'prévision 2017'!J418+'prévision 2017'!J426+'prévision 2017'!J532</f>
        <v>0</v>
      </c>
      <c r="H117" s="46">
        <f t="shared" si="3"/>
        <v>2504000</v>
      </c>
      <c r="I117" s="1">
        <f t="shared" si="2"/>
        <v>1569150</v>
      </c>
    </row>
    <row r="118" spans="1:9" ht="15.75">
      <c r="A118" s="11" t="s">
        <v>81</v>
      </c>
      <c r="B118" s="22" t="s">
        <v>191</v>
      </c>
      <c r="C118" s="14"/>
      <c r="D118" s="24">
        <f>SUBTOTAL(109,D113:D117)</f>
        <v>103671000</v>
      </c>
      <c r="E118" s="24">
        <f>SUBTOTAL(109,E113:E117)</f>
        <v>73407350</v>
      </c>
      <c r="F118" s="24">
        <f>SUBTOTAL(109,F113:F117)</f>
        <v>103671000</v>
      </c>
      <c r="G118" s="24">
        <f>SUBTOTAL(109,G113:G117)</f>
        <v>0</v>
      </c>
      <c r="H118" s="24">
        <f>SUBTOTAL(109,H113:H117)</f>
        <v>103671000</v>
      </c>
      <c r="I118" s="1">
        <f t="shared" si="2"/>
        <v>30263650</v>
      </c>
    </row>
    <row r="119" spans="1:9" ht="15.75">
      <c r="A119" s="215" t="s">
        <v>81</v>
      </c>
      <c r="B119" s="43">
        <v>6311</v>
      </c>
      <c r="C119" s="14" t="s">
        <v>280</v>
      </c>
      <c r="D119" s="43"/>
      <c r="E119" s="14"/>
      <c r="F119" s="566">
        <f>'prévision 2017'!I538</f>
        <v>10000000</v>
      </c>
      <c r="G119" s="566">
        <f>'prévision 2017'!J538</f>
        <v>0</v>
      </c>
      <c r="H119" s="46">
        <f t="shared" si="3"/>
        <v>10000000</v>
      </c>
      <c r="I119" s="1">
        <f t="shared" si="2"/>
        <v>10000000</v>
      </c>
    </row>
    <row r="120" spans="1:9" ht="15.75">
      <c r="A120" s="11" t="s">
        <v>81</v>
      </c>
      <c r="B120" s="23" t="s">
        <v>193</v>
      </c>
      <c r="C120" s="215"/>
      <c r="D120" s="565">
        <f>SUM(D119)</f>
        <v>0</v>
      </c>
      <c r="E120" s="565">
        <f>SUM(E119)</f>
        <v>0</v>
      </c>
      <c r="F120" s="567">
        <f>SUM(F119)</f>
        <v>10000000</v>
      </c>
      <c r="G120" s="567">
        <f>SUM(G119)</f>
        <v>0</v>
      </c>
      <c r="H120" s="46">
        <f t="shared" si="3"/>
        <v>10000000</v>
      </c>
      <c r="I120" s="1">
        <f t="shared" si="2"/>
        <v>10000000</v>
      </c>
    </row>
    <row r="121" spans="1:9" ht="15.75">
      <c r="A121" s="11" t="s">
        <v>81</v>
      </c>
      <c r="B121" s="60">
        <v>2164</v>
      </c>
      <c r="C121" s="14" t="s">
        <v>604</v>
      </c>
      <c r="D121" s="17">
        <f>'prévision 2017'!G500</f>
        <v>0</v>
      </c>
      <c r="E121" s="17">
        <f>'prévision 2017'!H500</f>
        <v>0</v>
      </c>
      <c r="F121" s="17">
        <f>'prévision 2017'!I500</f>
        <v>0</v>
      </c>
      <c r="G121" s="17">
        <f>'prévision 2017'!J500</f>
        <v>0</v>
      </c>
      <c r="H121" s="46">
        <f t="shared" si="3"/>
        <v>0</v>
      </c>
      <c r="I121" s="1">
        <f t="shared" si="2"/>
        <v>0</v>
      </c>
    </row>
    <row r="122" spans="1:9" ht="15.75">
      <c r="A122" s="11" t="s">
        <v>81</v>
      </c>
      <c r="B122" s="70">
        <v>2171</v>
      </c>
      <c r="C122" s="14" t="s">
        <v>284</v>
      </c>
      <c r="D122" s="17">
        <f>'prévision 2017'!G501</f>
        <v>0</v>
      </c>
      <c r="E122" s="17">
        <f>'prévision 2017'!H501</f>
        <v>0</v>
      </c>
      <c r="F122" s="17">
        <f>'prévision 2017'!I501</f>
        <v>0</v>
      </c>
      <c r="G122" s="17">
        <f>'prévision 2017'!J501</f>
        <v>0</v>
      </c>
      <c r="H122" s="46">
        <f t="shared" si="3"/>
        <v>0</v>
      </c>
      <c r="I122" s="1">
        <f t="shared" si="2"/>
        <v>0</v>
      </c>
    </row>
    <row r="123" spans="1:9" ht="15.75">
      <c r="A123" s="11" t="s">
        <v>81</v>
      </c>
      <c r="B123" s="22" t="s">
        <v>194</v>
      </c>
      <c r="C123" s="14"/>
      <c r="D123" s="17">
        <f>SUM(D121:D122)</f>
        <v>0</v>
      </c>
      <c r="E123" s="17">
        <f>SUM(E121:E122)</f>
        <v>0</v>
      </c>
      <c r="F123" s="17">
        <f>SUM(F121:F122)</f>
        <v>0</v>
      </c>
      <c r="G123" s="17">
        <f>SUM(G121:G122)</f>
        <v>0</v>
      </c>
      <c r="H123" s="46">
        <f t="shared" si="3"/>
        <v>0</v>
      </c>
      <c r="I123" s="1">
        <f t="shared" si="2"/>
        <v>0</v>
      </c>
    </row>
    <row r="124" spans="1:9" ht="15.75">
      <c r="A124" s="30" t="s">
        <v>81</v>
      </c>
      <c r="B124" s="23" t="s">
        <v>72</v>
      </c>
      <c r="C124" s="14"/>
      <c r="D124" s="24">
        <f>D118+D112+D120</f>
        <v>1283828673</v>
      </c>
      <c r="E124" s="24">
        <f>E118+E112+E120</f>
        <v>1251500158.8800004</v>
      </c>
      <c r="F124" s="24">
        <f>F118+F112+F120</f>
        <v>1293828673</v>
      </c>
      <c r="G124" s="24">
        <f>G118+G112+G120</f>
        <v>0</v>
      </c>
      <c r="H124" s="24">
        <f>H118+H112+H120</f>
        <v>1293828673</v>
      </c>
      <c r="I124" s="1">
        <f t="shared" si="2"/>
        <v>42328514.11999965</v>
      </c>
    </row>
    <row r="125" spans="1:9" ht="15.75">
      <c r="A125" s="11" t="s">
        <v>258</v>
      </c>
      <c r="B125" s="31" t="s">
        <v>540</v>
      </c>
      <c r="C125" s="14"/>
      <c r="D125" s="17"/>
      <c r="E125" s="17"/>
      <c r="F125" s="17"/>
      <c r="H125" s="46">
        <f t="shared" si="3"/>
        <v>0</v>
      </c>
      <c r="I125" s="1">
        <f t="shared" si="2"/>
        <v>0</v>
      </c>
    </row>
    <row r="126" spans="1:9" ht="15.75">
      <c r="A126" s="11" t="s">
        <v>258</v>
      </c>
      <c r="B126" s="36">
        <v>6611</v>
      </c>
      <c r="C126" s="14" t="s">
        <v>6</v>
      </c>
      <c r="D126" s="17">
        <f>'prévision 2017'!G543+'prévision 2017'!G549+'prévision 2017'!G557+'prévision 2017'!G565+'prévision 2017'!G572+'prévision 2017'!G578+'prévision 2017'!G584+'prévision 2017'!G591+'prévision 2017'!G596+'prévision 2017'!G601+'prévision 2017'!G610+'prévision 2017'!G615+'prévision 2017'!G620+'prévision 2017'!G624+'prévision 2017'!G632+'prévision 2017'!G637+'prévision 2017'!G644</f>
        <v>1222269675</v>
      </c>
      <c r="E126" s="17">
        <f>'prévision 2017'!H543+'prévision 2017'!H549+'prévision 2017'!H557+'prévision 2017'!H565+'prévision 2017'!H572+'prévision 2017'!H578+'prévision 2017'!H584+'prévision 2017'!H591+'prévision 2017'!H596+'prévision 2017'!H601+'prévision 2017'!H610+'prévision 2017'!H615+'prévision 2017'!H620+'prévision 2017'!H624+'prévision 2017'!H632+'prévision 2017'!H637+'prévision 2017'!H644</f>
        <v>1096224323.76</v>
      </c>
      <c r="F126" s="17">
        <f>'prévision 2017'!I543+'prévision 2017'!I549+'prévision 2017'!I557+'prévision 2017'!I565+'prévision 2017'!I572+'prévision 2017'!I578+'prévision 2017'!I584+'prévision 2017'!I591+'prévision 2017'!I596+'prévision 2017'!I601+'prévision 2017'!I610+'prévision 2017'!I615+'prévision 2017'!I620+'prévision 2017'!I624+'prévision 2017'!I632+'prévision 2017'!I637+'prévision 2017'!I644</f>
        <v>1222269675</v>
      </c>
      <c r="G126" s="17">
        <f>'prévision 2017'!J543+'prévision 2017'!J549+'prévision 2017'!J557+'prévision 2017'!J565+'prévision 2017'!J572+'prévision 2017'!J578+'prévision 2017'!J584+'prévision 2017'!J591+'prévision 2017'!J596+'prévision 2017'!J601+'prévision 2017'!J610+'prévision 2017'!J615+'prévision 2017'!J620+'prévision 2017'!J624+'prévision 2017'!J632+'prévision 2017'!J637+'prévision 2017'!J644</f>
        <v>0</v>
      </c>
      <c r="H126" s="46">
        <f t="shared" si="3"/>
        <v>1222269675</v>
      </c>
      <c r="I126" s="1">
        <f t="shared" si="2"/>
        <v>126045351.24000001</v>
      </c>
    </row>
    <row r="127" spans="1:9" ht="15.75">
      <c r="A127" s="11" t="s">
        <v>258</v>
      </c>
      <c r="B127" s="36">
        <v>6682</v>
      </c>
      <c r="C127" s="14" t="s">
        <v>262</v>
      </c>
      <c r="D127" s="17">
        <f>'prévision 2017'!G566</f>
        <v>0</v>
      </c>
      <c r="E127" s="17">
        <f>'prévision 2017'!H566</f>
        <v>0</v>
      </c>
      <c r="F127" s="17">
        <f>'prévision 2017'!I566</f>
        <v>0</v>
      </c>
      <c r="G127" s="17">
        <f>'prévision 2017'!J566</f>
        <v>0</v>
      </c>
      <c r="H127" s="46">
        <f t="shared" si="3"/>
        <v>0</v>
      </c>
      <c r="I127" s="1">
        <f t="shared" si="2"/>
        <v>0</v>
      </c>
    </row>
    <row r="128" spans="1:9" ht="15.75">
      <c r="A128" s="11" t="s">
        <v>258</v>
      </c>
      <c r="B128" s="22" t="s">
        <v>192</v>
      </c>
      <c r="C128" s="14"/>
      <c r="D128" s="24">
        <f>SUBTOTAL(109,D126:D127)</f>
        <v>1222269675</v>
      </c>
      <c r="E128" s="24">
        <f>SUBTOTAL(109,E126:E127)</f>
        <v>1096224323.76</v>
      </c>
      <c r="F128" s="24">
        <f>SUBTOTAL(109,F126:F127)</f>
        <v>1222269675</v>
      </c>
      <c r="G128" s="24">
        <f>SUBTOTAL(109,G126:G127)</f>
        <v>0</v>
      </c>
      <c r="H128" s="24">
        <f>SUBTOTAL(109,H126:H127)</f>
        <v>1222269675</v>
      </c>
      <c r="I128" s="1">
        <f t="shared" si="2"/>
        <v>126045351.24000001</v>
      </c>
    </row>
    <row r="129" spans="1:9" ht="15.75">
      <c r="A129" s="11" t="s">
        <v>258</v>
      </c>
      <c r="B129" s="62">
        <v>60100</v>
      </c>
      <c r="C129" s="14" t="s">
        <v>34</v>
      </c>
      <c r="D129" s="17">
        <f>'prévision 2017'!G544+'prévision 2017'!G550+'prévision 2017'!G558+'prévision 2017'!G567+'prévision 2017'!G573+'prévision 2017'!G579+'prévision 2017'!G585+'prévision 2017'!G592+'prévision 2017'!G597+'prévision 2017'!G602+'prévision 2017'!G606+'prévision 2017'!G611+'prévision 2017'!G616+'prévision 2017'!G625+'prévision 2017'!G633+'prévision 2017'!G638</f>
        <v>25660000</v>
      </c>
      <c r="E129" s="17">
        <f>'prévision 2017'!H544+'prévision 2017'!H550+'prévision 2017'!H558+'prévision 2017'!H567+'prévision 2017'!H573+'prévision 2017'!H579+'prévision 2017'!H585+'prévision 2017'!H592+'prévision 2017'!H597+'prévision 2017'!H602+'prévision 2017'!H606+'prévision 2017'!H611+'prévision 2017'!H616+'prévision 2017'!H625+'prévision 2017'!H633+'prévision 2017'!H638</f>
        <v>18552300</v>
      </c>
      <c r="F129" s="17">
        <f>'prévision 2017'!I544+'prévision 2017'!I550+'prévision 2017'!I558+'prévision 2017'!I567+'prévision 2017'!I573+'prévision 2017'!I579+'prévision 2017'!I585+'prévision 2017'!I592+'prévision 2017'!I597+'prévision 2017'!I602+'prévision 2017'!I606+'prévision 2017'!I611+'prévision 2017'!I616+'prévision 2017'!I625+'prévision 2017'!I633+'prévision 2017'!I638</f>
        <v>25660000</v>
      </c>
      <c r="G129" s="17">
        <f>'prévision 2017'!J544+'prévision 2017'!J550+'prévision 2017'!J558+'prévision 2017'!J567+'prévision 2017'!J573+'prévision 2017'!J579+'prévision 2017'!J585+'prévision 2017'!J592+'prévision 2017'!J597+'prévision 2017'!J602+'prévision 2017'!J606+'prévision 2017'!J611+'prévision 2017'!J616+'prévision 2017'!J625+'prévision 2017'!J633+'prévision 2017'!J638</f>
        <v>0</v>
      </c>
      <c r="H129" s="46">
        <f t="shared" si="3"/>
        <v>25660000</v>
      </c>
      <c r="I129" s="1">
        <f t="shared" si="2"/>
        <v>7107700</v>
      </c>
    </row>
    <row r="130" spans="1:9" ht="15.75">
      <c r="A130" s="11" t="s">
        <v>258</v>
      </c>
      <c r="B130" s="17">
        <v>6018</v>
      </c>
      <c r="C130" s="14" t="s">
        <v>215</v>
      </c>
      <c r="D130" s="17">
        <f>'prévision 2017'!G568</f>
        <v>3500000</v>
      </c>
      <c r="E130" s="17">
        <f>'prévision 2017'!H568</f>
        <v>875000</v>
      </c>
      <c r="F130" s="17">
        <f>'prévision 2017'!I568</f>
        <v>3500000</v>
      </c>
      <c r="G130" s="17">
        <f>'prévision 2017'!J568</f>
        <v>0</v>
      </c>
      <c r="H130" s="46">
        <f t="shared" si="3"/>
        <v>3500000</v>
      </c>
      <c r="I130" s="1">
        <f t="shared" si="2"/>
        <v>2625000</v>
      </c>
    </row>
    <row r="131" spans="1:9" ht="15.75">
      <c r="A131" s="198" t="s">
        <v>258</v>
      </c>
      <c r="B131" s="185">
        <v>6112</v>
      </c>
      <c r="C131" s="14" t="s">
        <v>236</v>
      </c>
      <c r="D131" s="17">
        <f>'prévision 2017'!G586</f>
        <v>2000000</v>
      </c>
      <c r="E131" s="17">
        <f>'prévision 2017'!H586</f>
        <v>0</v>
      </c>
      <c r="F131" s="17">
        <f>'prévision 2017'!I586</f>
        <v>2000000</v>
      </c>
      <c r="G131" s="17">
        <f>'prévision 2017'!J586</f>
        <v>0</v>
      </c>
      <c r="H131" s="46">
        <f t="shared" si="3"/>
        <v>2000000</v>
      </c>
      <c r="I131" s="1">
        <f t="shared" si="2"/>
        <v>2000000</v>
      </c>
    </row>
    <row r="132" spans="1:9" ht="15.75">
      <c r="A132" s="11" t="s">
        <v>258</v>
      </c>
      <c r="B132" s="185">
        <v>6122</v>
      </c>
      <c r="C132" s="14" t="s">
        <v>582</v>
      </c>
      <c r="D132" s="17">
        <f>'prévision 2017'!G545+'prévision 2017'!G552+'prévision 2017'!G569+'prévision 2017'!G574+'prévision 2017'!G580+'prévision 2017'!G587+'prévision 2017'!G593+'prévision 2017'!G598+'prévision 2017'!G603+'prévision 2017'!G607+'prévision 2017'!G612+'prévision 2017'!G617+'prévision 2017'!G626+'prévision 2017'!G634+'prévision 2017'!G639</f>
        <v>13052000</v>
      </c>
      <c r="E132" s="17">
        <f>'prévision 2017'!H545+'prévision 2017'!H552+'prévision 2017'!H569+'prévision 2017'!H574+'prévision 2017'!H580+'prévision 2017'!H587+'prévision 2017'!H593+'prévision 2017'!H598+'prévision 2017'!H603+'prévision 2017'!H607+'prévision 2017'!H612+'prévision 2017'!H617+'prévision 2017'!H626+'prévision 2017'!H634+'prévision 2017'!H639</f>
        <v>7219750</v>
      </c>
      <c r="F132" s="17">
        <f>'prévision 2017'!I545+'prévision 2017'!I552+'prévision 2017'!I569+'prévision 2017'!I574+'prévision 2017'!I580+'prévision 2017'!I587+'prévision 2017'!I593+'prévision 2017'!I598+'prévision 2017'!I603+'prévision 2017'!I607+'prévision 2017'!I612+'prévision 2017'!I617+'prévision 2017'!I626+'prévision 2017'!I634+'prévision 2017'!I639</f>
        <v>13052000</v>
      </c>
      <c r="G132" s="17">
        <f>'prévision 2017'!J545+'prévision 2017'!J552+'prévision 2017'!J569+'prévision 2017'!J574+'prévision 2017'!J580+'prévision 2017'!J587+'prévision 2017'!J593+'prévision 2017'!J598+'prévision 2017'!J603+'prévision 2017'!J607+'prévision 2017'!J612+'prévision 2017'!J617+'prévision 2017'!J626+'prévision 2017'!J634+'prévision 2017'!J639</f>
        <v>0</v>
      </c>
      <c r="H132" s="46">
        <f t="shared" si="3"/>
        <v>13052000</v>
      </c>
      <c r="I132" s="1">
        <f t="shared" si="2"/>
        <v>5832250</v>
      </c>
    </row>
    <row r="133" spans="1:9" ht="15.75">
      <c r="A133" s="11" t="s">
        <v>258</v>
      </c>
      <c r="B133" s="61">
        <v>6173</v>
      </c>
      <c r="C133" s="14" t="s">
        <v>19</v>
      </c>
      <c r="D133" s="17">
        <f>'prévision 2017'!G559+'prévision 2017'!G562+'prévision 2017'!G575+'prévision 2017'!G581+'prévision 2017'!G588+'prévision 2017'!G621+'prévision 2017'!G629+'prévision 2017'!G640+'prévision 2017'!G645</f>
        <v>152500000</v>
      </c>
      <c r="E133" s="17">
        <f>'prévision 2017'!H559+'prévision 2017'!H562+'prévision 2017'!H575+'prévision 2017'!H581+'prévision 2017'!H588+'prévision 2017'!H621+'prévision 2017'!H629+'prévision 2017'!H640+'prévision 2017'!H645</f>
        <v>126500000</v>
      </c>
      <c r="F133" s="17">
        <f>'prévision 2017'!I559+'prévision 2017'!I562+'prévision 2017'!I575+'prévision 2017'!I581+'prévision 2017'!I588+'prévision 2017'!I621+'prévision 2017'!I629+'prévision 2017'!I640+'prévision 2017'!I645</f>
        <v>152500000</v>
      </c>
      <c r="G133" s="17">
        <f>'prévision 2017'!J559+'prévision 2017'!J562+'prévision 2017'!J575+'prévision 2017'!J581+'prévision 2017'!J588+'prévision 2017'!J621+'prévision 2017'!J629+'prévision 2017'!J640+'prévision 2017'!J645</f>
        <v>0</v>
      </c>
      <c r="H133" s="46">
        <f t="shared" si="3"/>
        <v>152500000</v>
      </c>
      <c r="I133" s="1">
        <f t="shared" si="2"/>
        <v>26000000</v>
      </c>
    </row>
    <row r="134" spans="1:9" ht="15.75">
      <c r="A134" s="11" t="s">
        <v>258</v>
      </c>
      <c r="B134" s="41">
        <v>6175</v>
      </c>
      <c r="C134" s="14" t="s">
        <v>13</v>
      </c>
      <c r="D134" s="17">
        <f>'prévision 2017'!G546+'prévision 2017'!G553</f>
        <v>3030000</v>
      </c>
      <c r="E134" s="17">
        <f>'prévision 2017'!H546+'prévision 2017'!H553</f>
        <v>2272500</v>
      </c>
      <c r="F134" s="17">
        <f>'prévision 2017'!I546+'prévision 2017'!I553</f>
        <v>3030000</v>
      </c>
      <c r="G134" s="17">
        <f>'prévision 2017'!J546+'prévision 2017'!J553</f>
        <v>0</v>
      </c>
      <c r="H134" s="46">
        <f t="shared" si="3"/>
        <v>3030000</v>
      </c>
      <c r="I134" s="1">
        <f t="shared" si="2"/>
        <v>757500</v>
      </c>
    </row>
    <row r="135" spans="1:9" ht="15.75">
      <c r="A135" s="11" t="s">
        <v>258</v>
      </c>
      <c r="B135" s="15" t="s">
        <v>191</v>
      </c>
      <c r="C135" s="14"/>
      <c r="D135" s="24">
        <f>SUBTOTAL(109,D129:D134)</f>
        <v>199742000</v>
      </c>
      <c r="E135" s="24">
        <f>SUBTOTAL(109,E129:E134)</f>
        <v>155419550</v>
      </c>
      <c r="F135" s="24">
        <f>SUBTOTAL(109,F129:F134)</f>
        <v>199742000</v>
      </c>
      <c r="G135" s="24">
        <f>SUBTOTAL(109,G129:G134)</f>
        <v>0</v>
      </c>
      <c r="H135" s="24">
        <f>SUBTOTAL(109,H129:H134)</f>
        <v>199742000</v>
      </c>
      <c r="I135" s="1">
        <f aca="true" t="shared" si="4" ref="I135:I198">H135-E135</f>
        <v>44322450</v>
      </c>
    </row>
    <row r="136" spans="1:9" ht="15.75">
      <c r="A136" s="11" t="s">
        <v>258</v>
      </c>
      <c r="B136" s="35">
        <v>6311</v>
      </c>
      <c r="C136" s="14" t="s">
        <v>280</v>
      </c>
      <c r="D136" s="17">
        <f>'prévision 2017'!G641</f>
        <v>12100000</v>
      </c>
      <c r="E136" s="17">
        <f>'prévision 2017'!H641</f>
        <v>12100000</v>
      </c>
      <c r="F136" s="17">
        <f>'prévision 2017'!I641</f>
        <v>12100000</v>
      </c>
      <c r="G136" s="17">
        <f>'prévision 2017'!J641</f>
        <v>0</v>
      </c>
      <c r="H136" s="46">
        <f t="shared" si="3"/>
        <v>12100000</v>
      </c>
      <c r="I136" s="1">
        <f t="shared" si="4"/>
        <v>0</v>
      </c>
    </row>
    <row r="137" spans="1:9" ht="15.75">
      <c r="A137" s="11" t="s">
        <v>258</v>
      </c>
      <c r="B137" s="15" t="s">
        <v>193</v>
      </c>
      <c r="C137" s="14"/>
      <c r="D137" s="24">
        <f>SUBTOTAL(109,D136:D136)</f>
        <v>12100000</v>
      </c>
      <c r="E137" s="24">
        <f>SUBTOTAL(109,E136:E136)</f>
        <v>12100000</v>
      </c>
      <c r="F137" s="24">
        <f>SUBTOTAL(109,F136:F136)</f>
        <v>12100000</v>
      </c>
      <c r="G137" s="24">
        <f>SUBTOTAL(109,G136:G136)</f>
        <v>0</v>
      </c>
      <c r="H137" s="24">
        <f>SUBTOTAL(109,H136:H136)</f>
        <v>12100000</v>
      </c>
      <c r="I137" s="1">
        <f t="shared" si="4"/>
        <v>0</v>
      </c>
    </row>
    <row r="138" spans="1:9" ht="15.75">
      <c r="A138" s="11" t="s">
        <v>258</v>
      </c>
      <c r="B138" s="188">
        <v>2731</v>
      </c>
      <c r="C138" s="194" t="s">
        <v>695</v>
      </c>
      <c r="D138" s="598">
        <f>'prévision 2017'!G554</f>
        <v>0</v>
      </c>
      <c r="E138" s="357">
        <f>'prévision 2017'!H554</f>
        <v>3500000000</v>
      </c>
      <c r="F138" s="357">
        <f>'prévision 2017'!I554</f>
        <v>3500000000</v>
      </c>
      <c r="G138" s="357">
        <f>'prévision 2017'!J554</f>
        <v>0</v>
      </c>
      <c r="H138" s="46">
        <f aca="true" t="shared" si="5" ref="H138:H200">F138+G138</f>
        <v>3500000000</v>
      </c>
      <c r="I138" s="1">
        <f t="shared" si="4"/>
        <v>0</v>
      </c>
    </row>
    <row r="139" spans="1:9" ht="15.75">
      <c r="A139" s="11" t="s">
        <v>258</v>
      </c>
      <c r="B139" s="22" t="s">
        <v>194</v>
      </c>
      <c r="C139" s="194"/>
      <c r="D139" s="598">
        <f>SUM(D138)</f>
        <v>0</v>
      </c>
      <c r="E139" s="357">
        <f>SUM(E138)</f>
        <v>3500000000</v>
      </c>
      <c r="F139" s="313">
        <f>SUM(F138)</f>
        <v>3500000000</v>
      </c>
      <c r="G139" s="313">
        <f>SUM(G138)</f>
        <v>0</v>
      </c>
      <c r="H139" s="46">
        <f t="shared" si="5"/>
        <v>3500000000</v>
      </c>
      <c r="I139" s="1">
        <f t="shared" si="4"/>
        <v>0</v>
      </c>
    </row>
    <row r="140" spans="1:9" ht="15.75">
      <c r="A140" s="11" t="s">
        <v>258</v>
      </c>
      <c r="B140" s="19" t="s">
        <v>72</v>
      </c>
      <c r="C140" s="14"/>
      <c r="D140" s="24">
        <f>D137+D135+D128+D139</f>
        <v>1434111675</v>
      </c>
      <c r="E140" s="24">
        <f>E137+E135+E128+E139</f>
        <v>4763743873.76</v>
      </c>
      <c r="F140" s="24">
        <f>F137+F135+F128+F139</f>
        <v>4934111675</v>
      </c>
      <c r="G140" s="24">
        <f>G137+G135+G128+G139</f>
        <v>0</v>
      </c>
      <c r="H140" s="24">
        <f>H137+H135+H128+H139</f>
        <v>4934111675</v>
      </c>
      <c r="I140" s="1">
        <f>H140-E140</f>
        <v>170367801.23999977</v>
      </c>
    </row>
    <row r="141" spans="1:9" ht="16.5">
      <c r="A141" s="30" t="s">
        <v>92</v>
      </c>
      <c r="B141" s="171" t="s">
        <v>637</v>
      </c>
      <c r="C141" s="14"/>
      <c r="D141" s="17"/>
      <c r="E141" s="17"/>
      <c r="F141" s="17"/>
      <c r="H141" s="46"/>
      <c r="I141" s="1">
        <f t="shared" si="4"/>
        <v>0</v>
      </c>
    </row>
    <row r="142" spans="1:9" ht="15.75">
      <c r="A142" s="45" t="s">
        <v>92</v>
      </c>
      <c r="B142" s="35">
        <v>6611</v>
      </c>
      <c r="C142" s="14" t="s">
        <v>6</v>
      </c>
      <c r="D142" s="17">
        <f>'prévision 2017'!G650+'prévision 2017'!G658+'prévision 2017'!G673+'prévision 2017'!G665+'prévision 2017'!G678</f>
        <v>81155892</v>
      </c>
      <c r="E142" s="17">
        <f>'prévision 2017'!H650+'prévision 2017'!H658+'prévision 2017'!H673+'prévision 2017'!H665+'prévision 2017'!H678</f>
        <v>95617800.88</v>
      </c>
      <c r="F142" s="17">
        <f>'prévision 2017'!I650+'prévision 2017'!I658+'prévision 2017'!I673+'prévision 2017'!I665+'prévision 2017'!I678</f>
        <v>81155892</v>
      </c>
      <c r="G142" s="17">
        <f>'prévision 2017'!J650+'prévision 2017'!J658+'prévision 2017'!J673+'prévision 2017'!J665+'prévision 2017'!J678</f>
        <v>0</v>
      </c>
      <c r="H142" s="46">
        <f t="shared" si="5"/>
        <v>81155892</v>
      </c>
      <c r="I142" s="1">
        <f t="shared" si="4"/>
        <v>-14461908.879999995</v>
      </c>
    </row>
    <row r="143" spans="1:9" ht="15.75">
      <c r="A143" s="45" t="s">
        <v>92</v>
      </c>
      <c r="B143" s="15" t="s">
        <v>192</v>
      </c>
      <c r="C143" s="14"/>
      <c r="D143" s="24">
        <f>SUBTOTAL(109,D142:D142)</f>
        <v>81155892</v>
      </c>
      <c r="E143" s="24">
        <f>SUBTOTAL(109,E142:E142)</f>
        <v>95617800.88</v>
      </c>
      <c r="F143" s="24">
        <f>SUBTOTAL(109,F142:F142)</f>
        <v>81155892</v>
      </c>
      <c r="G143" s="24">
        <f>SUBTOTAL(109,G142:G142)</f>
        <v>0</v>
      </c>
      <c r="H143" s="24">
        <f>SUBTOTAL(109,H142:H142)</f>
        <v>81155892</v>
      </c>
      <c r="I143" s="1">
        <f t="shared" si="4"/>
        <v>-14461908.879999995</v>
      </c>
    </row>
    <row r="144" spans="1:9" ht="15.75">
      <c r="A144" s="45" t="s">
        <v>92</v>
      </c>
      <c r="B144" s="35">
        <v>60100</v>
      </c>
      <c r="C144" s="14" t="s">
        <v>7</v>
      </c>
      <c r="D144" s="17">
        <f>'prévision 2017'!G651+'prévision 2017'!G659+'prévision 2017'!G666+'prévision 2017'!G674+'prévision 2017'!G679+'prévision 2017'!G683</f>
        <v>4093996</v>
      </c>
      <c r="E144" s="17">
        <f>'prévision 2017'!H651+'prévision 2017'!H659+'prévision 2017'!H666+'prévision 2017'!H674+'prévision 2017'!H679+'prévision 2017'!H683</f>
        <v>1018700</v>
      </c>
      <c r="F144" s="17">
        <f>'prévision 2017'!I651+'prévision 2017'!I659+'prévision 2017'!I666+'prévision 2017'!I674+'prévision 2017'!I679+'prévision 2017'!I683</f>
        <v>4093996</v>
      </c>
      <c r="G144" s="17">
        <f>'prévision 2017'!J651+'prévision 2017'!J659+'prévision 2017'!J666+'prévision 2017'!J674+'prévision 2017'!J679+'prévision 2017'!J683</f>
        <v>0</v>
      </c>
      <c r="H144" s="46">
        <f t="shared" si="5"/>
        <v>4093996</v>
      </c>
      <c r="I144" s="1">
        <f t="shared" si="4"/>
        <v>3075296</v>
      </c>
    </row>
    <row r="145" spans="1:9" ht="15.75">
      <c r="A145" s="45" t="s">
        <v>92</v>
      </c>
      <c r="B145" s="185">
        <v>6122</v>
      </c>
      <c r="C145" s="14" t="s">
        <v>582</v>
      </c>
      <c r="D145" s="17">
        <f>'prévision 2017'!G653+'prévision 2017'!G661+'prévision 2017'!G668+'prévision 2017'!G675+'prévision 2017'!G680+'prévision 2017'!G684</f>
        <v>3108140</v>
      </c>
      <c r="E145" s="17">
        <f>'prévision 2017'!H653+'prévision 2017'!H661+'prévision 2017'!H668+'prévision 2017'!H675+'prévision 2017'!H680+'prévision 2017'!H684</f>
        <v>742000</v>
      </c>
      <c r="F145" s="17">
        <f>'prévision 2017'!I653+'prévision 2017'!I661+'prévision 2017'!I668+'prévision 2017'!I675+'prévision 2017'!I680+'prévision 2017'!I684</f>
        <v>3108140</v>
      </c>
      <c r="G145" s="17">
        <f>'prévision 2017'!J653+'prévision 2017'!J661+'prévision 2017'!J668+'prévision 2017'!J675+'prévision 2017'!J680+'prévision 2017'!J684</f>
        <v>0</v>
      </c>
      <c r="H145" s="46">
        <f t="shared" si="5"/>
        <v>3108140</v>
      </c>
      <c r="I145" s="1">
        <f t="shared" si="4"/>
        <v>2366140</v>
      </c>
    </row>
    <row r="146" spans="1:9" ht="15.75">
      <c r="A146" s="45" t="s">
        <v>92</v>
      </c>
      <c r="B146" s="40">
        <v>6133</v>
      </c>
      <c r="C146" s="14" t="s">
        <v>110</v>
      </c>
      <c r="D146" s="17">
        <f>'prévision 2017'!G654</f>
        <v>438017</v>
      </c>
      <c r="E146" s="17">
        <f>'prévision 2017'!H654</f>
        <v>0</v>
      </c>
      <c r="F146" s="17">
        <f>'prévision 2017'!I654</f>
        <v>438017</v>
      </c>
      <c r="G146" s="17">
        <f>'prévision 2017'!J654</f>
        <v>0</v>
      </c>
      <c r="H146" s="46">
        <f t="shared" si="5"/>
        <v>438017</v>
      </c>
      <c r="I146" s="1">
        <f t="shared" si="4"/>
        <v>438017</v>
      </c>
    </row>
    <row r="147" spans="1:9" ht="15.75">
      <c r="A147" s="45" t="s">
        <v>92</v>
      </c>
      <c r="B147" s="37">
        <v>6175</v>
      </c>
      <c r="C147" s="14" t="s">
        <v>13</v>
      </c>
      <c r="D147" s="17">
        <f>'prévision 2017'!G655+'prévision 2017'!G662+'prévision 2017'!G670</f>
        <v>1422140</v>
      </c>
      <c r="E147" s="17">
        <f>'prévision 2017'!H655+'prévision 2017'!H662+'prévision 2017'!H670</f>
        <v>706000</v>
      </c>
      <c r="F147" s="17">
        <f>'prévision 2017'!I655+'prévision 2017'!I662+'prévision 2017'!I670</f>
        <v>1422140</v>
      </c>
      <c r="G147" s="17">
        <f>'prévision 2017'!J655+'prévision 2017'!J662+'prévision 2017'!J670</f>
        <v>0</v>
      </c>
      <c r="H147" s="46">
        <f t="shared" si="5"/>
        <v>1422140</v>
      </c>
      <c r="I147" s="1">
        <f t="shared" si="4"/>
        <v>716140</v>
      </c>
    </row>
    <row r="148" spans="1:9" ht="15.75">
      <c r="A148" s="45" t="s">
        <v>92</v>
      </c>
      <c r="B148" s="22" t="s">
        <v>191</v>
      </c>
      <c r="C148" s="14"/>
      <c r="D148" s="24">
        <f>SUBTOTAL(109,D144:D147)</f>
        <v>9062293</v>
      </c>
      <c r="E148" s="24">
        <f>SUBTOTAL(109,E144:E147)</f>
        <v>2466700</v>
      </c>
      <c r="F148" s="24">
        <f>SUBTOTAL(109,F144:F147)</f>
        <v>9062293</v>
      </c>
      <c r="G148" s="24">
        <f>SUBTOTAL(109,G144:G147)</f>
        <v>0</v>
      </c>
      <c r="H148" s="24">
        <f>SUBTOTAL(109,H144:H147)</f>
        <v>9062293</v>
      </c>
      <c r="I148" s="1">
        <f t="shared" si="4"/>
        <v>6595593</v>
      </c>
    </row>
    <row r="149" spans="1:9" ht="15.75">
      <c r="A149" s="198" t="s">
        <v>92</v>
      </c>
      <c r="B149" s="35">
        <v>6311</v>
      </c>
      <c r="C149" s="14" t="s">
        <v>280</v>
      </c>
      <c r="D149" s="17">
        <f>'prévision 2017'!G687</f>
        <v>50400000</v>
      </c>
      <c r="E149" s="17">
        <f>'prévision 2017'!H687</f>
        <v>0</v>
      </c>
      <c r="F149" s="17">
        <f>'prévision 2017'!I687</f>
        <v>50400000</v>
      </c>
      <c r="G149" s="17">
        <f>'prévision 2017'!J687</f>
        <v>0</v>
      </c>
      <c r="H149" s="46">
        <f t="shared" si="5"/>
        <v>50400000</v>
      </c>
      <c r="I149" s="1">
        <f t="shared" si="4"/>
        <v>50400000</v>
      </c>
    </row>
    <row r="150" spans="1:9" ht="15.75">
      <c r="A150" s="198" t="s">
        <v>92</v>
      </c>
      <c r="B150" s="15" t="s">
        <v>193</v>
      </c>
      <c r="C150" s="14"/>
      <c r="D150" s="24">
        <f>SUBTOTAL(109,D149:D149)</f>
        <v>50400000</v>
      </c>
      <c r="E150" s="17">
        <f>SUBTOTAL(109,E149:E149)</f>
        <v>0</v>
      </c>
      <c r="F150" s="24">
        <f>SUBTOTAL(109,F149:F149)</f>
        <v>50400000</v>
      </c>
      <c r="G150" s="24">
        <f>SUBTOTAL(109,G149:G149)</f>
        <v>0</v>
      </c>
      <c r="H150" s="24">
        <f>SUBTOTAL(109,H149:H149)</f>
        <v>50400000</v>
      </c>
      <c r="I150" s="1">
        <f t="shared" si="4"/>
        <v>50400000</v>
      </c>
    </row>
    <row r="151" spans="1:9" ht="15.75">
      <c r="A151" s="45" t="s">
        <v>92</v>
      </c>
      <c r="B151" s="15" t="s">
        <v>72</v>
      </c>
      <c r="C151" s="14"/>
      <c r="D151" s="24">
        <f>D150+D148+D143</f>
        <v>140618185</v>
      </c>
      <c r="E151" s="24">
        <f>E148+E143</f>
        <v>98084500.88</v>
      </c>
      <c r="F151" s="24">
        <f>F150+F148+F143</f>
        <v>140618185</v>
      </c>
      <c r="G151" s="24">
        <f>G150+G148+G143</f>
        <v>0</v>
      </c>
      <c r="H151" s="24">
        <f>H150+H148+H143</f>
        <v>140618185</v>
      </c>
      <c r="I151" s="1">
        <f t="shared" si="4"/>
        <v>42533684.120000005</v>
      </c>
    </row>
    <row r="152" spans="1:9" ht="16.5">
      <c r="A152" s="11" t="s">
        <v>259</v>
      </c>
      <c r="B152" s="100" t="s">
        <v>638</v>
      </c>
      <c r="C152" s="14"/>
      <c r="D152" s="17"/>
      <c r="E152" s="17"/>
      <c r="F152" s="17"/>
      <c r="H152" s="46"/>
      <c r="I152" s="1">
        <f t="shared" si="4"/>
        <v>0</v>
      </c>
    </row>
    <row r="153" spans="1:9" ht="15.75">
      <c r="A153" s="11" t="s">
        <v>259</v>
      </c>
      <c r="B153" s="37">
        <v>6611</v>
      </c>
      <c r="C153" s="14" t="s">
        <v>6</v>
      </c>
      <c r="D153" s="17">
        <f>'prévision 2017'!G692+'prévision 2017'!G698+'prévision 2017'!G705+'prévision 2017'!G711+'prévision 2017'!G718+'prévision 2017'!G732+'prévision 2017'!G745+'prévision 2017'!G754+'prévision 2017'!G761+'prévision 2017'!G768+'prévision 2017'!G773</f>
        <v>289582849.26</v>
      </c>
      <c r="E153" s="17">
        <f>'prévision 2017'!H692+'prévision 2017'!H698+'prévision 2017'!H705+'prévision 2017'!H711+'prévision 2017'!H718+'prévision 2017'!H732+'prévision 2017'!H745+'prévision 2017'!H754+'prévision 2017'!H761+'prévision 2017'!H768+'prévision 2017'!H773</f>
        <v>259564664.64000002</v>
      </c>
      <c r="F153" s="17">
        <f>'prévision 2017'!I692+'prévision 2017'!I698+'prévision 2017'!I705+'prévision 2017'!I711+'prévision 2017'!I718+'prévision 2017'!I732+'prévision 2017'!I745+'prévision 2017'!I754+'prévision 2017'!I761+'prévision 2017'!I768+'prévision 2017'!I773</f>
        <v>289582849.26</v>
      </c>
      <c r="G153" s="17">
        <f>'prévision 2017'!J692+'prévision 2017'!J698+'prévision 2017'!J705+'prévision 2017'!J711+'prévision 2017'!J718+'prévision 2017'!J732+'prévision 2017'!J745+'prévision 2017'!J754+'prévision 2017'!J761+'prévision 2017'!J768+'prévision 2017'!J773</f>
        <v>0</v>
      </c>
      <c r="H153" s="46">
        <f t="shared" si="5"/>
        <v>289582849.26</v>
      </c>
      <c r="I153" s="1">
        <f t="shared" si="4"/>
        <v>30018184.619999975</v>
      </c>
    </row>
    <row r="154" spans="1:9" ht="15.75">
      <c r="A154" s="11" t="s">
        <v>259</v>
      </c>
      <c r="B154" s="19" t="s">
        <v>192</v>
      </c>
      <c r="C154" s="14"/>
      <c r="D154" s="24">
        <f>SUBTOTAL(109,D153:D153)</f>
        <v>289582849.26</v>
      </c>
      <c r="E154" s="24">
        <f>SUBTOTAL(109,E153:E153)</f>
        <v>259564664.64000002</v>
      </c>
      <c r="F154" s="24">
        <f>SUBTOTAL(109,F153:F153)</f>
        <v>289582849.26</v>
      </c>
      <c r="G154" s="24">
        <f>SUBTOTAL(109,G153:G153)</f>
        <v>0</v>
      </c>
      <c r="H154" s="46">
        <f t="shared" si="5"/>
        <v>289582849.26</v>
      </c>
      <c r="I154" s="1">
        <f t="shared" si="4"/>
        <v>30018184.619999975</v>
      </c>
    </row>
    <row r="155" spans="1:9" ht="15.75">
      <c r="A155" s="11" t="s">
        <v>259</v>
      </c>
      <c r="B155" s="37">
        <v>60100</v>
      </c>
      <c r="C155" s="14" t="s">
        <v>7</v>
      </c>
      <c r="D155" s="17">
        <f>'prévision 2017'!G693+'prévision 2017'!G699+'prévision 2017'!G706+'prévision 2017'!G712+'prévision 2017'!G719+'prévision 2017'!G733+'prévision 2017'!G739+'prévision 2017'!G746+'prévision 2017'!G755+'prévision 2017'!G762+'prévision 2017'!G769+'prévision 2017'!G774</f>
        <v>10718900</v>
      </c>
      <c r="E155" s="17">
        <f>'prévision 2017'!H693+'prévision 2017'!H699+'prévision 2017'!H706+'prévision 2017'!H712+'prévision 2017'!H719+'prévision 2017'!H733+'prévision 2017'!H739+'prévision 2017'!H746+'prévision 2017'!H755+'prévision 2017'!H762+'prévision 2017'!H769+'prévision 2017'!H774</f>
        <v>2338150</v>
      </c>
      <c r="F155" s="17">
        <f>'prévision 2017'!I693+'prévision 2017'!I699+'prévision 2017'!I706+'prévision 2017'!I712+'prévision 2017'!I719+'prévision 2017'!I733+'prévision 2017'!I739+'prévision 2017'!I746+'prévision 2017'!I755+'prévision 2017'!I762+'prévision 2017'!I769+'prévision 2017'!I774</f>
        <v>10718900</v>
      </c>
      <c r="G155" s="17">
        <f>'prévision 2017'!J693+'prévision 2017'!J699+'prévision 2017'!J706+'prévision 2017'!J712+'prévision 2017'!J719+'prévision 2017'!J733+'prévision 2017'!J739+'prévision 2017'!J746+'prévision 2017'!J755+'prévision 2017'!J762+'prévision 2017'!J769+'prévision 2017'!J774</f>
        <v>0</v>
      </c>
      <c r="H155" s="46">
        <f t="shared" si="5"/>
        <v>10718900</v>
      </c>
      <c r="I155" s="1">
        <f t="shared" si="4"/>
        <v>8380750</v>
      </c>
    </row>
    <row r="156" spans="1:9" ht="15.75">
      <c r="A156" s="11" t="s">
        <v>259</v>
      </c>
      <c r="B156" s="40">
        <v>60101</v>
      </c>
      <c r="C156" s="14" t="s">
        <v>264</v>
      </c>
      <c r="D156" s="17">
        <f>'prévision 2017'!G720+'prévision 2017'!G734+'prévision 2017'!G740+'prévision 2017'!G747+'prévision 2017'!G756</f>
        <v>1545000</v>
      </c>
      <c r="E156" s="17">
        <f>'prévision 2017'!H720+'prévision 2017'!H734+'prévision 2017'!H740+'prévision 2017'!H747+'prévision 2017'!H756</f>
        <v>0</v>
      </c>
      <c r="F156" s="17">
        <f>'prévision 2017'!I720+'prévision 2017'!I734+'prévision 2017'!I740+'prévision 2017'!I747+'prévision 2017'!I756</f>
        <v>1545000</v>
      </c>
      <c r="G156" s="17">
        <f>'prévision 2017'!J720+'prévision 2017'!J734+'prévision 2017'!J740+'prévision 2017'!J747+'prévision 2017'!J756</f>
        <v>0</v>
      </c>
      <c r="H156" s="46">
        <f t="shared" si="5"/>
        <v>1545000</v>
      </c>
      <c r="I156" s="1">
        <f t="shared" si="4"/>
        <v>1545000</v>
      </c>
    </row>
    <row r="157" spans="1:9" ht="15.75">
      <c r="A157" s="11" t="s">
        <v>259</v>
      </c>
      <c r="B157" s="185">
        <v>6122</v>
      </c>
      <c r="C157" s="14" t="s">
        <v>582</v>
      </c>
      <c r="D157" s="17">
        <f>'prévision 2017'!G694+'prévision 2017'!G701+'prévision 2017'!G707+'prévision 2017'!G713+'prévision 2017'!G721+'prévision 2017'!G735+'prévision 2017'!G741+'prévision 2017'!G748+'prévision 2017'!G757+'prévision 2017'!G763+'prévision 2017'!G770+'prévision 2017'!G775</f>
        <v>6483900</v>
      </c>
      <c r="E157" s="17">
        <f>'prévision 2017'!H694+'prévision 2017'!H701+'prévision 2017'!H707+'prévision 2017'!H713+'prévision 2017'!H721+'prévision 2017'!H735+'prévision 2017'!H741+'prévision 2017'!H748+'prévision 2017'!H757+'prévision 2017'!H763+'prévision 2017'!H770+'prévision 2017'!H775</f>
        <v>1103000</v>
      </c>
      <c r="F157" s="17">
        <f>'prévision 2017'!I694+'prévision 2017'!I701+'prévision 2017'!I707+'prévision 2017'!I713+'prévision 2017'!I721+'prévision 2017'!I735+'prévision 2017'!I741+'prévision 2017'!I748+'prévision 2017'!I757+'prévision 2017'!I763+'prévision 2017'!I770+'prévision 2017'!I775</f>
        <v>6483900</v>
      </c>
      <c r="G157" s="17">
        <f>'prévision 2017'!J694+'prévision 2017'!J701+'prévision 2017'!J707+'prévision 2017'!J713+'prévision 2017'!J721+'prévision 2017'!J735+'prévision 2017'!J741+'prévision 2017'!J748+'prévision 2017'!J757+'prévision 2017'!J763+'prévision 2017'!J770+'prévision 2017'!J775</f>
        <v>0</v>
      </c>
      <c r="H157" s="46">
        <f t="shared" si="5"/>
        <v>6483900</v>
      </c>
      <c r="I157" s="1">
        <f t="shared" si="4"/>
        <v>5380900</v>
      </c>
    </row>
    <row r="158" spans="1:9" ht="15.75">
      <c r="A158" s="11" t="s">
        <v>259</v>
      </c>
      <c r="B158" s="40">
        <v>6173</v>
      </c>
      <c r="C158" s="14" t="s">
        <v>19</v>
      </c>
      <c r="D158" s="17">
        <f>'prévision 2017'!G722+'prévision 2017'!G729</f>
        <v>30054740</v>
      </c>
      <c r="E158" s="17">
        <f>'prévision 2017'!H722+'prévision 2017'!H729</f>
        <v>5426660</v>
      </c>
      <c r="F158" s="17">
        <f>'prévision 2017'!I722+'prévision 2017'!I729</f>
        <v>30054740</v>
      </c>
      <c r="G158" s="17">
        <f>'prévision 2017'!J722+'prévision 2017'!J729</f>
        <v>-10000000</v>
      </c>
      <c r="H158" s="46">
        <f t="shared" si="5"/>
        <v>20054740</v>
      </c>
      <c r="I158" s="1">
        <f t="shared" si="4"/>
        <v>14628080</v>
      </c>
    </row>
    <row r="159" spans="1:9" ht="15.75">
      <c r="A159" s="11" t="s">
        <v>259</v>
      </c>
      <c r="B159" s="39">
        <v>6175</v>
      </c>
      <c r="C159" s="14" t="s">
        <v>13</v>
      </c>
      <c r="D159" s="17">
        <f>'prévision 2017'!G695+'prévision 2017'!G702+'prévision 2017'!G708+'prévision 2017'!G723</f>
        <v>4905000</v>
      </c>
      <c r="E159" s="17">
        <f>'prévision 2017'!H695+'prévision 2017'!H702+'prévision 2017'!H708+'prévision 2017'!H723</f>
        <v>1101750</v>
      </c>
      <c r="F159" s="17">
        <f>'prévision 2017'!I695+'prévision 2017'!I702+'prévision 2017'!I708+'prévision 2017'!I723</f>
        <v>4905000</v>
      </c>
      <c r="G159" s="17">
        <f>'prévision 2017'!J695+'prévision 2017'!J702+'prévision 2017'!J708+'prévision 2017'!J723</f>
        <v>0</v>
      </c>
      <c r="H159" s="46">
        <f t="shared" si="5"/>
        <v>4905000</v>
      </c>
      <c r="I159" s="1">
        <f t="shared" si="4"/>
        <v>3803250</v>
      </c>
    </row>
    <row r="160" spans="1:9" ht="15.75">
      <c r="A160" s="11" t="s">
        <v>259</v>
      </c>
      <c r="B160" s="35">
        <v>6021</v>
      </c>
      <c r="C160" s="14" t="s">
        <v>124</v>
      </c>
      <c r="D160" s="17">
        <f>'prévision 2017'!G742</f>
        <v>470000</v>
      </c>
      <c r="E160" s="17">
        <f>'prévision 2017'!H742</f>
        <v>0</v>
      </c>
      <c r="F160" s="17">
        <f>'prévision 2017'!I742</f>
        <v>470000</v>
      </c>
      <c r="G160" s="17">
        <f>'prévision 2017'!J742</f>
        <v>0</v>
      </c>
      <c r="H160" s="46">
        <f t="shared" si="5"/>
        <v>470000</v>
      </c>
      <c r="I160" s="1">
        <f t="shared" si="4"/>
        <v>470000</v>
      </c>
    </row>
    <row r="161" spans="1:9" ht="15.75">
      <c r="A161" s="11" t="s">
        <v>259</v>
      </c>
      <c r="B161" s="15" t="s">
        <v>191</v>
      </c>
      <c r="C161" s="14"/>
      <c r="D161" s="24">
        <f>SUBTOTAL(109,D155:D160)</f>
        <v>54177540</v>
      </c>
      <c r="E161" s="24">
        <f>SUBTOTAL(109,E155:E160)</f>
        <v>9969560</v>
      </c>
      <c r="F161" s="24">
        <f>SUBTOTAL(109,F155:F160)</f>
        <v>54177540</v>
      </c>
      <c r="G161" s="24">
        <f>SUBTOTAL(109,G155:G160)</f>
        <v>-10000000</v>
      </c>
      <c r="H161" s="24">
        <f>SUBTOTAL(109,H155:H160)</f>
        <v>44177540</v>
      </c>
      <c r="I161" s="1">
        <f t="shared" si="4"/>
        <v>34207980</v>
      </c>
    </row>
    <row r="162" spans="1:9" ht="15.75">
      <c r="A162" s="11" t="s">
        <v>259</v>
      </c>
      <c r="B162" s="35">
        <v>6311</v>
      </c>
      <c r="C162" s="14" t="s">
        <v>280</v>
      </c>
      <c r="D162" s="17">
        <f>'prévision 2017'!G724+'prévision 2017'!G736+'prévision 2017'!G751</f>
        <v>77003716</v>
      </c>
      <c r="E162" s="17">
        <f>'prévision 2017'!H724+'prévision 2017'!H736+'prévision 2017'!H751</f>
        <v>22500000</v>
      </c>
      <c r="F162" s="17">
        <f>'prévision 2017'!I724+'prévision 2017'!I736+'prévision 2017'!I751</f>
        <v>89503716</v>
      </c>
      <c r="G162" s="17">
        <f>'prévision 2017'!J724+'prévision 2017'!J736+'prévision 2017'!J751</f>
        <v>0</v>
      </c>
      <c r="H162" s="46">
        <f t="shared" si="5"/>
        <v>89503716</v>
      </c>
      <c r="I162" s="1">
        <f t="shared" si="4"/>
        <v>67003716</v>
      </c>
    </row>
    <row r="163" spans="1:9" ht="15.75">
      <c r="A163" s="11" t="s">
        <v>259</v>
      </c>
      <c r="B163" s="22" t="s">
        <v>193</v>
      </c>
      <c r="C163" s="14"/>
      <c r="D163" s="24">
        <f>SUBTOTAL(109,D162:D162)</f>
        <v>77003716</v>
      </c>
      <c r="E163" s="24">
        <f>SUBTOTAL(109,E162:E162)</f>
        <v>22500000</v>
      </c>
      <c r="F163" s="24">
        <f>SUBTOTAL(109,F162:F162)</f>
        <v>89503716</v>
      </c>
      <c r="G163" s="24">
        <f>SUBTOTAL(109,G162:G162)</f>
        <v>0</v>
      </c>
      <c r="H163" s="46">
        <f t="shared" si="5"/>
        <v>89503716</v>
      </c>
      <c r="I163" s="1">
        <f t="shared" si="4"/>
        <v>67003716</v>
      </c>
    </row>
    <row r="164" spans="1:9" ht="15.75">
      <c r="A164" s="11" t="s">
        <v>259</v>
      </c>
      <c r="B164" s="35">
        <v>2121</v>
      </c>
      <c r="C164" s="14" t="s">
        <v>126</v>
      </c>
      <c r="D164" s="17">
        <f>'prévision 2017'!G725+'prévision 2017'!G758</f>
        <v>262611544.52</v>
      </c>
      <c r="E164" s="17">
        <f>'prévision 2017'!H725+'prévision 2017'!H758</f>
        <v>0</v>
      </c>
      <c r="F164" s="17">
        <f>'prévision 2017'!I725+'prévision 2017'!I758</f>
        <v>262611544.52</v>
      </c>
      <c r="G164" s="17">
        <f>'prévision 2017'!J725+'prévision 2017'!J758</f>
        <v>0</v>
      </c>
      <c r="H164" s="46">
        <f t="shared" si="5"/>
        <v>262611544.52</v>
      </c>
      <c r="I164" s="1">
        <f t="shared" si="4"/>
        <v>262611544.52</v>
      </c>
    </row>
    <row r="165" spans="1:9" ht="15.75">
      <c r="A165" s="11" t="s">
        <v>259</v>
      </c>
      <c r="B165" s="35">
        <v>21251</v>
      </c>
      <c r="C165" s="14" t="s">
        <v>579</v>
      </c>
      <c r="D165" s="17">
        <f>'prévision 2017'!G714</f>
        <v>500000000</v>
      </c>
      <c r="E165" s="17">
        <f>'prévision 2017'!H714</f>
        <v>0</v>
      </c>
      <c r="F165" s="17">
        <f>'prévision 2017'!I714</f>
        <v>500000000</v>
      </c>
      <c r="G165" s="17">
        <f>'prévision 2017'!J714</f>
        <v>-400000000</v>
      </c>
      <c r="H165" s="46">
        <f t="shared" si="5"/>
        <v>100000000</v>
      </c>
      <c r="I165" s="1">
        <f t="shared" si="4"/>
        <v>100000000</v>
      </c>
    </row>
    <row r="166" spans="1:9" ht="15.75">
      <c r="A166" s="11" t="s">
        <v>259</v>
      </c>
      <c r="B166" s="35">
        <v>21252</v>
      </c>
      <c r="C166" s="14" t="s">
        <v>580</v>
      </c>
      <c r="D166" s="17">
        <f>'prévision 2017'!G726</f>
        <v>0</v>
      </c>
      <c r="E166" s="17">
        <f>'prévision 2017'!H726</f>
        <v>0</v>
      </c>
      <c r="F166" s="17">
        <f>'prévision 2017'!I726</f>
        <v>0</v>
      </c>
      <c r="G166" s="17">
        <f>'prévision 2017'!J726</f>
        <v>0</v>
      </c>
      <c r="H166" s="46">
        <f t="shared" si="5"/>
        <v>0</v>
      </c>
      <c r="I166" s="1">
        <f t="shared" si="4"/>
        <v>0</v>
      </c>
    </row>
    <row r="167" spans="1:9" ht="15.75">
      <c r="A167" s="11" t="s">
        <v>259</v>
      </c>
      <c r="B167" s="35">
        <v>2126</v>
      </c>
      <c r="C167" s="14" t="s">
        <v>646</v>
      </c>
      <c r="D167" s="17">
        <f>'prévision 2017'!G715</f>
        <v>2000000000</v>
      </c>
      <c r="E167" s="17">
        <f>'prévision 2017'!H715</f>
        <v>0</v>
      </c>
      <c r="F167" s="17">
        <f>'prévision 2017'!I715</f>
        <v>0</v>
      </c>
      <c r="G167" s="17">
        <f>'prévision 2017'!J715</f>
        <v>0</v>
      </c>
      <c r="H167" s="46">
        <f t="shared" si="5"/>
        <v>0</v>
      </c>
      <c r="I167" s="1">
        <f t="shared" si="4"/>
        <v>0</v>
      </c>
    </row>
    <row r="168" spans="1:9" ht="15.75">
      <c r="A168" s="11" t="s">
        <v>259</v>
      </c>
      <c r="B168" s="35">
        <v>2141</v>
      </c>
      <c r="C168" s="14" t="s">
        <v>185</v>
      </c>
      <c r="D168" s="17">
        <f>'prévision 2017'!G764</f>
        <v>1095823840</v>
      </c>
      <c r="E168" s="17">
        <f>'prévision 2017'!H764</f>
        <v>330000000</v>
      </c>
      <c r="F168" s="17">
        <f>'prévision 2017'!I764</f>
        <v>1095823840</v>
      </c>
      <c r="G168" s="17">
        <f>'prévision 2017'!J764</f>
        <v>0</v>
      </c>
      <c r="H168" s="46">
        <f t="shared" si="5"/>
        <v>1095823840</v>
      </c>
      <c r="I168" s="1">
        <f t="shared" si="4"/>
        <v>765823840</v>
      </c>
    </row>
    <row r="169" spans="1:9" ht="15.75">
      <c r="A169" s="209" t="s">
        <v>259</v>
      </c>
      <c r="B169" s="35">
        <v>21412</v>
      </c>
      <c r="C169" s="14" t="s">
        <v>651</v>
      </c>
      <c r="D169" s="17">
        <f>'prévision 2017'!G765</f>
        <v>500000000</v>
      </c>
      <c r="E169" s="17">
        <f>'prévision 2017'!H765</f>
        <v>0</v>
      </c>
      <c r="F169" s="17">
        <f>'prévision 2017'!I765</f>
        <v>500000000</v>
      </c>
      <c r="G169" s="17">
        <f>'prévision 2017'!J765</f>
        <v>0</v>
      </c>
      <c r="H169" s="46">
        <f t="shared" si="5"/>
        <v>500000000</v>
      </c>
      <c r="I169" s="1">
        <f t="shared" si="4"/>
        <v>500000000</v>
      </c>
    </row>
    <row r="170" spans="1:9" ht="15.75">
      <c r="A170" s="11" t="s">
        <v>259</v>
      </c>
      <c r="B170" s="22" t="s">
        <v>194</v>
      </c>
      <c r="C170" s="14"/>
      <c r="D170" s="24">
        <f>SUBTOTAL(109,D164:D169)</f>
        <v>4358435384.52</v>
      </c>
      <c r="E170" s="24">
        <f>SUBTOTAL(109,E164:E169)</f>
        <v>330000000</v>
      </c>
      <c r="F170" s="24">
        <f>SUBTOTAL(109,F164:F169)</f>
        <v>2358435384.52</v>
      </c>
      <c r="G170" s="24">
        <f>SUBTOTAL(109,G164:G169)</f>
        <v>-400000000</v>
      </c>
      <c r="H170" s="24">
        <f>SUBTOTAL(109,H164:H169)</f>
        <v>1958435384.52</v>
      </c>
      <c r="I170" s="1">
        <f t="shared" si="4"/>
        <v>1628435384.52</v>
      </c>
    </row>
    <row r="171" spans="1:9" ht="15.75">
      <c r="A171" s="11" t="s">
        <v>259</v>
      </c>
      <c r="B171" s="23" t="s">
        <v>72</v>
      </c>
      <c r="C171" s="14"/>
      <c r="D171" s="24">
        <f>D170+D163+D161+D154</f>
        <v>4779199489.780001</v>
      </c>
      <c r="E171" s="24">
        <f>E170+E163+E161+E154</f>
        <v>622034224.64</v>
      </c>
      <c r="F171" s="24">
        <f>F170+F163+F161+F154</f>
        <v>2791699489.7799997</v>
      </c>
      <c r="G171" s="24">
        <f>G170+G163+G161+G154</f>
        <v>-410000000</v>
      </c>
      <c r="H171" s="24">
        <f>H170+H163+H161+H154</f>
        <v>2381699489.7799997</v>
      </c>
      <c r="I171" s="1">
        <f t="shared" si="4"/>
        <v>1759665265.1399999</v>
      </c>
    </row>
    <row r="172" spans="1:9" ht="15.75">
      <c r="A172" s="11" t="s">
        <v>108</v>
      </c>
      <c r="B172" s="178" t="s">
        <v>536</v>
      </c>
      <c r="C172" s="14"/>
      <c r="D172" s="17"/>
      <c r="E172" s="17"/>
      <c r="F172" s="17"/>
      <c r="H172" s="46"/>
      <c r="I172" s="1">
        <f t="shared" si="4"/>
        <v>0</v>
      </c>
    </row>
    <row r="173" spans="1:9" ht="15.75">
      <c r="A173" s="11" t="s">
        <v>108</v>
      </c>
      <c r="B173" s="37">
        <v>6611</v>
      </c>
      <c r="C173" s="14" t="s">
        <v>6</v>
      </c>
      <c r="D173" s="17">
        <f>'prévision 2017'!G780+'prévision 2017'!G787+'prévision 2017'!G798+'prévision 2017'!G804+'prévision 2017'!G811+'prévision 2017'!G821+'prévision 2017'!G839+'prévision 2017'!G844+'prévision 2017'!G863+'prévision 2017'!G877</f>
        <v>204480721</v>
      </c>
      <c r="E173" s="17">
        <f>'prévision 2017'!H780+'prévision 2017'!H787+'prévision 2017'!H798+'prévision 2017'!H804+'prévision 2017'!H811+'prévision 2017'!H821+'prévision 2017'!H839+'prévision 2017'!H844+'prévision 2017'!H863+'prévision 2017'!H877</f>
        <v>244159688.67</v>
      </c>
      <c r="F173" s="17">
        <f>'prévision 2017'!I780+'prévision 2017'!I787+'prévision 2017'!I798+'prévision 2017'!I804+'prévision 2017'!I811+'prévision 2017'!I821+'prévision 2017'!I839+'prévision 2017'!I844+'prévision 2017'!I863+'prévision 2017'!I877</f>
        <v>204480721</v>
      </c>
      <c r="G173" s="17">
        <f>'prévision 2017'!J780+'prévision 2017'!J787+'prévision 2017'!J798+'prévision 2017'!J804+'prévision 2017'!J811+'prévision 2017'!J821+'prévision 2017'!J839+'prévision 2017'!J844+'prévision 2017'!J863+'prévision 2017'!J877</f>
        <v>0</v>
      </c>
      <c r="H173" s="46">
        <f t="shared" si="5"/>
        <v>204480721</v>
      </c>
      <c r="I173" s="1">
        <f t="shared" si="4"/>
        <v>-39678967.66999999</v>
      </c>
    </row>
    <row r="174" spans="1:9" ht="15.75">
      <c r="A174" s="11" t="s">
        <v>108</v>
      </c>
      <c r="B174" s="19" t="s">
        <v>192</v>
      </c>
      <c r="C174" s="14"/>
      <c r="D174" s="24">
        <f>SUBTOTAL(109,D173:D173)</f>
        <v>204480721</v>
      </c>
      <c r="E174" s="24">
        <f>SUBTOTAL(109,E173:E173)</f>
        <v>244159688.67</v>
      </c>
      <c r="F174" s="24">
        <f>SUBTOTAL(109,F173:F173)</f>
        <v>204480721</v>
      </c>
      <c r="G174" s="24">
        <f>SUBTOTAL(109,G173:G173)</f>
        <v>0</v>
      </c>
      <c r="H174" s="24">
        <f>SUBTOTAL(109,H173:H173)</f>
        <v>204480721</v>
      </c>
      <c r="I174" s="1">
        <f t="shared" si="4"/>
        <v>-39678967.66999999</v>
      </c>
    </row>
    <row r="175" spans="1:9" ht="15.75">
      <c r="A175" s="11" t="s">
        <v>108</v>
      </c>
      <c r="B175" s="37">
        <v>60100</v>
      </c>
      <c r="C175" s="14" t="s">
        <v>7</v>
      </c>
      <c r="D175" s="17">
        <f>'prévision 2017'!G781+'prévision 2017'!G788+'prévision 2017'!G799+'prévision 2017'!G805+'prévision 2017'!G812+'prévision 2017'!G822+'prévision 2017'!G834+'prévision 2017'!G846+'prévision 2017'!G859+'prévision 2017'!G864</f>
        <v>6251704.961999999</v>
      </c>
      <c r="E175" s="17">
        <f>'prévision 2017'!H781+'prévision 2017'!H788+'prévision 2017'!H799+'prévision 2017'!H805+'prévision 2017'!H812+'prévision 2017'!H822+'prévision 2017'!H834+'prévision 2017'!H846+'prévision 2017'!H859+'prévision 2017'!H864</f>
        <v>764000</v>
      </c>
      <c r="F175" s="17">
        <f>'prévision 2017'!I781+'prévision 2017'!I788+'prévision 2017'!I799+'prévision 2017'!I805+'prévision 2017'!I812+'prévision 2017'!I822+'prévision 2017'!I834+'prévision 2017'!I846+'prévision 2017'!I859+'prévision 2017'!I864</f>
        <v>6251704.961999999</v>
      </c>
      <c r="G175" s="17">
        <f>'prévision 2017'!J781+'prévision 2017'!J788+'prévision 2017'!J799+'prévision 2017'!J805+'prévision 2017'!J812+'prévision 2017'!J822+'prévision 2017'!J834+'prévision 2017'!J846+'prévision 2017'!J859+'prévision 2017'!J864</f>
        <v>0</v>
      </c>
      <c r="H175" s="46">
        <f t="shared" si="5"/>
        <v>6251704.961999999</v>
      </c>
      <c r="I175" s="1">
        <f t="shared" si="4"/>
        <v>5487704.961999999</v>
      </c>
    </row>
    <row r="176" spans="1:9" ht="15.75">
      <c r="A176" s="65" t="s">
        <v>108</v>
      </c>
      <c r="B176" s="69">
        <v>60101</v>
      </c>
      <c r="C176" s="14" t="s">
        <v>264</v>
      </c>
      <c r="D176" s="17">
        <f>'prévision 2017'!G789+'prévision 2017'!G806+'prévision 2017'!G813+'prévision 2017'!G847+'prévision 2017'!G865</f>
        <v>1670568</v>
      </c>
      <c r="E176" s="17">
        <f>'prévision 2017'!H789+'prévision 2017'!H806+'prévision 2017'!H813+'prévision 2017'!H847+'prévision 2017'!H865</f>
        <v>423000</v>
      </c>
      <c r="F176" s="17">
        <f>'prévision 2017'!I789+'prévision 2017'!I806+'prévision 2017'!I813+'prévision 2017'!I847+'prévision 2017'!I865</f>
        <v>1670568</v>
      </c>
      <c r="G176" s="17">
        <f>'prévision 2017'!J789+'prévision 2017'!J806+'prévision 2017'!J813+'prévision 2017'!J847+'prévision 2017'!J865</f>
        <v>0</v>
      </c>
      <c r="H176" s="46">
        <f t="shared" si="5"/>
        <v>1670568</v>
      </c>
      <c r="I176" s="1">
        <f t="shared" si="4"/>
        <v>1247568</v>
      </c>
    </row>
    <row r="177" spans="1:9" ht="15.75">
      <c r="A177" s="11" t="s">
        <v>108</v>
      </c>
      <c r="B177" s="185">
        <v>6122</v>
      </c>
      <c r="C177" s="14" t="s">
        <v>582</v>
      </c>
      <c r="D177" s="17">
        <f>'prévision 2017'!G782+'prévision 2017'!G790+'prévision 2017'!G800+'prévision 2017'!G807+'prévision 2017'!G814+'prévision 2017'!G824+'prévision 2017'!G835+'prévision 2017'!G849+'prévision 2017'!G860+'prévision 2017'!G866</f>
        <v>3595856</v>
      </c>
      <c r="E177" s="17">
        <f>'prévision 2017'!H782+'prévision 2017'!H790+'prévision 2017'!H800+'prévision 2017'!H807+'prévision 2017'!H814+'prévision 2017'!H824+'prévision 2017'!H835+'prévision 2017'!H849+'prévision 2017'!H860+'prévision 2017'!H866</f>
        <v>681500</v>
      </c>
      <c r="F177" s="17">
        <f>'prévision 2017'!I782+'prévision 2017'!I790+'prévision 2017'!I800+'prévision 2017'!I807+'prévision 2017'!I814+'prévision 2017'!I824+'prévision 2017'!I835+'prévision 2017'!I849+'prévision 2017'!I860+'prévision 2017'!I866</f>
        <v>3595856</v>
      </c>
      <c r="G177" s="17">
        <f>'prévision 2017'!J782+'prévision 2017'!J790+'prévision 2017'!J800+'prévision 2017'!J807+'prévision 2017'!J814+'prévision 2017'!J824+'prévision 2017'!J835+'prévision 2017'!J849+'prévision 2017'!J860+'prévision 2017'!J866</f>
        <v>0</v>
      </c>
      <c r="H177" s="46">
        <f t="shared" si="5"/>
        <v>3595856</v>
      </c>
      <c r="I177" s="1">
        <f t="shared" si="4"/>
        <v>2914356</v>
      </c>
    </row>
    <row r="178" spans="1:9" ht="15.75">
      <c r="A178" s="65" t="s">
        <v>108</v>
      </c>
      <c r="B178" s="608">
        <v>6173</v>
      </c>
      <c r="C178" s="14" t="s">
        <v>19</v>
      </c>
      <c r="D178" s="17">
        <f>'prévision 2017'!G829</f>
        <v>94752000</v>
      </c>
      <c r="E178" s="17">
        <f>'prévision 2017'!H829</f>
        <v>47376000</v>
      </c>
      <c r="F178" s="17"/>
      <c r="H178" s="46">
        <f t="shared" si="5"/>
        <v>0</v>
      </c>
      <c r="I178" s="1">
        <f t="shared" si="4"/>
        <v>-47376000</v>
      </c>
    </row>
    <row r="179" spans="1:9" ht="15.75">
      <c r="A179" s="11" t="s">
        <v>108</v>
      </c>
      <c r="B179" s="39">
        <v>6175</v>
      </c>
      <c r="C179" s="14" t="s">
        <v>13</v>
      </c>
      <c r="D179" s="17">
        <f>'prévision 2017'!G783+'prévision 2017'!G792+'prévision 2017'!G801</f>
        <v>1770000</v>
      </c>
      <c r="E179" s="17">
        <f>'prévision 2017'!H783+'prévision 2017'!H792+'prévision 2017'!H801</f>
        <v>325000</v>
      </c>
      <c r="F179" s="17">
        <f>'prévision 2017'!I783+'prévision 2017'!I792+'prévision 2017'!I801</f>
        <v>1770000</v>
      </c>
      <c r="G179" s="17">
        <f>'prévision 2017'!J783+'prévision 2017'!J792+'prévision 2017'!J801</f>
        <v>0</v>
      </c>
      <c r="H179" s="46">
        <f t="shared" si="5"/>
        <v>1770000</v>
      </c>
      <c r="I179" s="1">
        <f t="shared" si="4"/>
        <v>1445000</v>
      </c>
    </row>
    <row r="180" spans="1:9" ht="15.75">
      <c r="A180" s="11" t="s">
        <v>108</v>
      </c>
      <c r="B180" s="19" t="s">
        <v>191</v>
      </c>
      <c r="C180" s="14"/>
      <c r="D180" s="24">
        <f>SUBTOTAL(109,D175:D179)</f>
        <v>108040128.962</v>
      </c>
      <c r="E180" s="24">
        <f>SUBTOTAL(109,E175:E179)</f>
        <v>49569500</v>
      </c>
      <c r="F180" s="24">
        <f>SUBTOTAL(109,F175:F179)</f>
        <v>13288128.962</v>
      </c>
      <c r="G180" s="24">
        <f>SUBTOTAL(109,G175:G179)</f>
        <v>0</v>
      </c>
      <c r="H180" s="24">
        <f>SUBTOTAL(109,H175:H179)</f>
        <v>13288128.962</v>
      </c>
      <c r="I180" s="1">
        <f t="shared" si="4"/>
        <v>-36281371.038</v>
      </c>
    </row>
    <row r="181" spans="1:9" ht="15.75">
      <c r="A181" s="11" t="s">
        <v>108</v>
      </c>
      <c r="B181" s="35">
        <v>6311</v>
      </c>
      <c r="C181" s="14" t="s">
        <v>280</v>
      </c>
      <c r="D181" s="17">
        <f>'prévision 2017'!G818+'prévision 2017'!G840+'prévision 2017'!G879</f>
        <v>56000000</v>
      </c>
      <c r="E181" s="17">
        <f>'prévision 2017'!H818+'prévision 2017'!H840+'prévision 2017'!H879</f>
        <v>53500000</v>
      </c>
      <c r="F181" s="17">
        <f>'prévision 2017'!I818+'prévision 2017'!I840+'prévision 2017'!I879+'prévision 2017'!I830</f>
        <v>155752000</v>
      </c>
      <c r="G181" s="17">
        <f>'prévision 2017'!J818+'prévision 2017'!J840+'prévision 2017'!J879+'prévision 2017'!J830</f>
        <v>0</v>
      </c>
      <c r="H181" s="46">
        <f t="shared" si="5"/>
        <v>155752000</v>
      </c>
      <c r="I181" s="1">
        <f t="shared" si="4"/>
        <v>102252000</v>
      </c>
    </row>
    <row r="182" spans="1:9" ht="15.75">
      <c r="A182" s="11" t="s">
        <v>108</v>
      </c>
      <c r="B182" s="36">
        <v>6312</v>
      </c>
      <c r="C182" s="14" t="s">
        <v>281</v>
      </c>
      <c r="D182" s="17">
        <f>'prévision 2017'!G874</f>
        <v>40660000</v>
      </c>
      <c r="E182" s="17">
        <f>'prévision 2017'!H874</f>
        <v>40660000</v>
      </c>
      <c r="F182" s="17">
        <f>'prévision 2017'!I874</f>
        <v>40660000</v>
      </c>
      <c r="G182" s="17">
        <f>'prévision 2017'!J874</f>
        <v>0</v>
      </c>
      <c r="H182" s="46">
        <f t="shared" si="5"/>
        <v>40660000</v>
      </c>
      <c r="I182" s="1">
        <f t="shared" si="4"/>
        <v>0</v>
      </c>
    </row>
    <row r="183" spans="1:9" ht="15.75">
      <c r="A183" s="11" t="s">
        <v>108</v>
      </c>
      <c r="B183" s="37">
        <v>6321</v>
      </c>
      <c r="C183" s="14" t="s">
        <v>524</v>
      </c>
      <c r="D183" s="17">
        <f>'prévision 2017'!G867</f>
        <v>3000000000</v>
      </c>
      <c r="E183" s="17">
        <f>'prévision 2017'!H867</f>
        <v>3000000000</v>
      </c>
      <c r="F183" s="17">
        <f>'prévision 2017'!I867</f>
        <v>3000000000</v>
      </c>
      <c r="G183" s="17">
        <f>'prévision 2017'!J867</f>
        <v>0</v>
      </c>
      <c r="H183" s="46">
        <f t="shared" si="5"/>
        <v>3000000000</v>
      </c>
      <c r="I183" s="1">
        <f t="shared" si="4"/>
        <v>0</v>
      </c>
    </row>
    <row r="184" spans="1:9" ht="15.75">
      <c r="A184" s="11" t="s">
        <v>108</v>
      </c>
      <c r="B184" s="22" t="s">
        <v>193</v>
      </c>
      <c r="C184" s="14"/>
      <c r="D184" s="24">
        <f>SUBTOTAL(109,D181:D183)</f>
        <v>3096660000</v>
      </c>
      <c r="E184" s="24">
        <f>SUBTOTAL(109,E181:E183)</f>
        <v>3094160000</v>
      </c>
      <c r="F184" s="24">
        <f>SUBTOTAL(109,F181:F183)</f>
        <v>3196412000</v>
      </c>
      <c r="G184" s="24">
        <f>SUBTOTAL(109,G181:G183)</f>
        <v>0</v>
      </c>
      <c r="H184" s="24">
        <f>SUBTOTAL(109,H181:H183)</f>
        <v>3196412000</v>
      </c>
      <c r="I184" s="1">
        <f t="shared" si="4"/>
        <v>102252000</v>
      </c>
    </row>
    <row r="185" spans="1:9" ht="15.75">
      <c r="A185" s="11" t="s">
        <v>108</v>
      </c>
      <c r="B185" s="221"/>
      <c r="C185" s="14"/>
      <c r="D185" s="17"/>
      <c r="E185" s="17"/>
      <c r="F185" s="17"/>
      <c r="H185" s="46">
        <f t="shared" si="5"/>
        <v>0</v>
      </c>
      <c r="I185" s="1">
        <f t="shared" si="4"/>
        <v>0</v>
      </c>
    </row>
    <row r="186" spans="1:9" ht="15.75">
      <c r="A186" s="11" t="s">
        <v>108</v>
      </c>
      <c r="B186" s="188">
        <v>2124</v>
      </c>
      <c r="C186" s="14" t="s">
        <v>578</v>
      </c>
      <c r="D186" s="17">
        <f>'prévision 2017'!G795</f>
        <v>0</v>
      </c>
      <c r="E186" s="17">
        <f>'prévision 2017'!H795</f>
        <v>0</v>
      </c>
      <c r="F186" s="17">
        <f>'prévision 2017'!I795</f>
        <v>0</v>
      </c>
      <c r="G186" s="17">
        <f>'prévision 2017'!J795</f>
        <v>0</v>
      </c>
      <c r="H186" s="46">
        <f t="shared" si="5"/>
        <v>0</v>
      </c>
      <c r="I186" s="1">
        <f t="shared" si="4"/>
        <v>0</v>
      </c>
    </row>
    <row r="187" spans="1:9" ht="15.75">
      <c r="A187" s="215" t="s">
        <v>108</v>
      </c>
      <c r="B187" s="224">
        <v>2127</v>
      </c>
      <c r="C187" s="14" t="s">
        <v>650</v>
      </c>
      <c r="D187" s="17">
        <f>'prévision 2017'!G825</f>
        <v>5000000000</v>
      </c>
      <c r="E187" s="17"/>
      <c r="F187" s="17">
        <f>'prévision 2017'!I825</f>
        <v>0</v>
      </c>
      <c r="G187" s="17">
        <f>'prévision 2017'!J825</f>
        <v>0</v>
      </c>
      <c r="H187" s="46">
        <f t="shared" si="5"/>
        <v>0</v>
      </c>
      <c r="I187" s="1">
        <f t="shared" si="4"/>
        <v>0</v>
      </c>
    </row>
    <row r="188" spans="1:9" ht="15.75">
      <c r="A188" s="11" t="s">
        <v>108</v>
      </c>
      <c r="B188" s="188">
        <v>2128</v>
      </c>
      <c r="C188" s="14" t="s">
        <v>645</v>
      </c>
      <c r="D188" s="17">
        <f>'prévision 2017'!G815+'prévision 2017'!G831+'prévision 2017'!G856</f>
        <v>648000000</v>
      </c>
      <c r="E188" s="17">
        <f>'prévision 2017'!H815+'prévision 2017'!H831+'prévision 2017'!H856</f>
        <v>0</v>
      </c>
      <c r="F188" s="17">
        <f>'prévision 2017'!I815+'prévision 2017'!I831+'prévision 2017'!I856</f>
        <v>648000000</v>
      </c>
      <c r="G188" s="17">
        <f>'prévision 2017'!J815+'prévision 2017'!J831+'prévision 2017'!J856</f>
        <v>-648000000</v>
      </c>
      <c r="H188" s="46">
        <f t="shared" si="5"/>
        <v>0</v>
      </c>
      <c r="I188" s="1">
        <f t="shared" si="4"/>
        <v>0</v>
      </c>
    </row>
    <row r="189" spans="1:9" ht="15.75">
      <c r="A189" s="11" t="s">
        <v>108</v>
      </c>
      <c r="B189" s="210">
        <v>2151</v>
      </c>
      <c r="C189" s="14" t="s">
        <v>571</v>
      </c>
      <c r="D189" s="17">
        <f>'prévision 2017'!G871</f>
        <v>0</v>
      </c>
      <c r="E189" s="17">
        <f>'prévision 2017'!H871</f>
        <v>0</v>
      </c>
      <c r="F189" s="17">
        <f>'prévision 2017'!I871</f>
        <v>0</v>
      </c>
      <c r="G189" s="17">
        <f>'prévision 2017'!J871</f>
        <v>0</v>
      </c>
      <c r="H189" s="46">
        <f t="shared" si="5"/>
        <v>0</v>
      </c>
      <c r="I189" s="1">
        <f t="shared" si="4"/>
        <v>0</v>
      </c>
    </row>
    <row r="190" spans="1:9" ht="15.75">
      <c r="A190" s="11" t="s">
        <v>108</v>
      </c>
      <c r="B190" s="210">
        <v>2154</v>
      </c>
      <c r="C190" s="14" t="s">
        <v>554</v>
      </c>
      <c r="D190" s="17">
        <f>'prévision 2017'!G868</f>
        <v>6000000000</v>
      </c>
      <c r="E190" s="17">
        <f>'prévision 2017'!H868</f>
        <v>7807664186</v>
      </c>
      <c r="F190" s="17">
        <f>'prévision 2017'!I868</f>
        <v>14500000000</v>
      </c>
      <c r="G190" s="17">
        <f>'prévision 2017'!J868</f>
        <v>-4926000000</v>
      </c>
      <c r="H190" s="46">
        <f t="shared" si="5"/>
        <v>9574000000</v>
      </c>
      <c r="I190" s="1">
        <f t="shared" si="4"/>
        <v>1766335814</v>
      </c>
    </row>
    <row r="191" spans="1:9" ht="15.75">
      <c r="A191" s="11" t="s">
        <v>108</v>
      </c>
      <c r="B191" s="210">
        <v>2157</v>
      </c>
      <c r="C191" s="14" t="s">
        <v>555</v>
      </c>
      <c r="D191" s="17">
        <f>'prévision 2017'!G869</f>
        <v>500000000</v>
      </c>
      <c r="E191" s="17">
        <f>'prévision 2017'!H869</f>
        <v>0</v>
      </c>
      <c r="F191" s="17">
        <f>'prévision 2017'!I869</f>
        <v>0</v>
      </c>
      <c r="G191" s="17">
        <f>'prévision 2017'!J869</f>
        <v>0</v>
      </c>
      <c r="H191" s="46">
        <f t="shared" si="5"/>
        <v>0</v>
      </c>
      <c r="I191" s="1">
        <f t="shared" si="4"/>
        <v>0</v>
      </c>
    </row>
    <row r="192" spans="1:9" ht="15.75">
      <c r="A192" s="11" t="s">
        <v>108</v>
      </c>
      <c r="B192" s="210">
        <v>2158</v>
      </c>
      <c r="C192" s="14" t="s">
        <v>576</v>
      </c>
      <c r="D192" s="17">
        <f>'prévision 2017'!G870</f>
        <v>1000000000</v>
      </c>
      <c r="E192" s="17">
        <f>'prévision 2017'!H870</f>
        <v>0</v>
      </c>
      <c r="F192" s="17">
        <f>'prévision 2017'!I870</f>
        <v>0</v>
      </c>
      <c r="G192" s="17">
        <f>'prévision 2017'!J870</f>
        <v>0</v>
      </c>
      <c r="H192" s="46">
        <f t="shared" si="5"/>
        <v>0</v>
      </c>
      <c r="I192" s="1">
        <f t="shared" si="4"/>
        <v>0</v>
      </c>
    </row>
    <row r="193" spans="1:9" ht="15.75">
      <c r="A193" s="11" t="s">
        <v>108</v>
      </c>
      <c r="B193" s="188">
        <v>2164</v>
      </c>
      <c r="C193" s="14" t="s">
        <v>583</v>
      </c>
      <c r="D193" s="17">
        <f>'prévision 2017'!G854</f>
        <v>0</v>
      </c>
      <c r="E193" s="17">
        <f>'prévision 2017'!H854</f>
        <v>0</v>
      </c>
      <c r="F193" s="17">
        <f>'prévision 2017'!I854</f>
        <v>0</v>
      </c>
      <c r="G193" s="17">
        <f>'prévision 2017'!J854</f>
        <v>0</v>
      </c>
      <c r="H193" s="46">
        <f t="shared" si="5"/>
        <v>0</v>
      </c>
      <c r="I193" s="1">
        <f t="shared" si="4"/>
        <v>0</v>
      </c>
    </row>
    <row r="194" spans="1:9" ht="15.75">
      <c r="A194" s="201" t="s">
        <v>108</v>
      </c>
      <c r="B194" s="191">
        <v>2171</v>
      </c>
      <c r="C194" s="14" t="s">
        <v>284</v>
      </c>
      <c r="D194" s="17">
        <f>'prévision 2017'!G794</f>
        <v>9000000</v>
      </c>
      <c r="E194" s="17"/>
      <c r="F194" s="17">
        <f>'prévision 2017'!I794</f>
        <v>9000000</v>
      </c>
      <c r="G194" s="17">
        <f>'prévision 2017'!J794</f>
        <v>0</v>
      </c>
      <c r="H194" s="46">
        <f t="shared" si="5"/>
        <v>9000000</v>
      </c>
      <c r="I194" s="1">
        <f t="shared" si="4"/>
        <v>9000000</v>
      </c>
    </row>
    <row r="195" spans="1:9" ht="15.75">
      <c r="A195" s="11" t="s">
        <v>108</v>
      </c>
      <c r="B195" s="19" t="s">
        <v>194</v>
      </c>
      <c r="C195" s="14"/>
      <c r="D195" s="24">
        <f>SUM(D186:D194)</f>
        <v>13157000000</v>
      </c>
      <c r="E195" s="24">
        <f>SUM(E186:E194)</f>
        <v>7807664186</v>
      </c>
      <c r="F195" s="24">
        <f>SUM(F186:F194)</f>
        <v>15157000000</v>
      </c>
      <c r="G195" s="24">
        <f>SUM(G186:G194)</f>
        <v>-5574000000</v>
      </c>
      <c r="H195" s="24">
        <f>SUM(H186:H194)</f>
        <v>9583000000</v>
      </c>
      <c r="I195" s="1">
        <f t="shared" si="4"/>
        <v>1775335814</v>
      </c>
    </row>
    <row r="196" spans="1:9" ht="15.75">
      <c r="A196" s="11" t="s">
        <v>108</v>
      </c>
      <c r="B196" s="23" t="s">
        <v>72</v>
      </c>
      <c r="C196" s="14"/>
      <c r="D196" s="24">
        <f>D180+D174+D184+D195</f>
        <v>16566180849.962</v>
      </c>
      <c r="E196" s="24">
        <f>E180+E174+E184+E195</f>
        <v>11195553374.67</v>
      </c>
      <c r="F196" s="24">
        <f>F180+F174+F184+F195</f>
        <v>18571180849.961998</v>
      </c>
      <c r="G196" s="24">
        <f>G180+G174+G184+G195</f>
        <v>-5574000000</v>
      </c>
      <c r="H196" s="24">
        <f>H180+H174+H184+H195</f>
        <v>12997180849.962</v>
      </c>
      <c r="I196" s="1">
        <f t="shared" si="4"/>
        <v>1801627475.2919998</v>
      </c>
    </row>
    <row r="197" spans="1:9" ht="16.5">
      <c r="A197" s="11" t="s">
        <v>115</v>
      </c>
      <c r="B197" s="222" t="s">
        <v>640</v>
      </c>
      <c r="C197" s="14"/>
      <c r="D197" s="17"/>
      <c r="E197" s="17"/>
      <c r="F197" s="17"/>
      <c r="G197" s="1"/>
      <c r="H197" s="46">
        <f t="shared" si="5"/>
        <v>0</v>
      </c>
      <c r="I197" s="1">
        <f t="shared" si="4"/>
        <v>0</v>
      </c>
    </row>
    <row r="198" spans="1:9" ht="15.75">
      <c r="A198" s="11" t="s">
        <v>115</v>
      </c>
      <c r="B198" s="37">
        <v>6611</v>
      </c>
      <c r="C198" s="14" t="s">
        <v>6</v>
      </c>
      <c r="D198" s="17">
        <f>'prévision 2017'!G884+'prévision 2017'!G902+'prévision 2017'!G923+'prévision 2017'!G934+'prévision 2017'!G945+'prévision 2017'!G949+'prévision 2017'!G965+'prévision 2017'!G976+'prévision 2017'!G985+'prévision 2017'!G995+'prévision 2017'!G1004</f>
        <v>513709380</v>
      </c>
      <c r="E198" s="17">
        <f>'prévision 2017'!H884+'prévision 2017'!H902+'prévision 2017'!H923+'prévision 2017'!H934+'prévision 2017'!H945+'prévision 2017'!H949+'prévision 2017'!H965+'prévision 2017'!H976+'prévision 2017'!H985+'prévision 2017'!H995+'prévision 2017'!H1004</f>
        <v>481171641.35</v>
      </c>
      <c r="F198" s="17">
        <f>'prévision 2017'!I884+'prévision 2017'!I902+'prévision 2017'!I923+'prévision 2017'!I934+'prévision 2017'!I945+'prévision 2017'!I949+'prévision 2017'!I965+'prévision 2017'!I976+'prévision 2017'!I985+'prévision 2017'!I995+'prévision 2017'!I1004</f>
        <v>513709380</v>
      </c>
      <c r="G198" s="17">
        <f>'prévision 2017'!J884+'prévision 2017'!J902+'prévision 2017'!J923+'prévision 2017'!J934+'prévision 2017'!J945+'prévision 2017'!J949+'prévision 2017'!J965+'prévision 2017'!J976+'prévision 2017'!J985+'prévision 2017'!J995+'prévision 2017'!J1004</f>
        <v>0</v>
      </c>
      <c r="H198" s="46">
        <f t="shared" si="5"/>
        <v>513709380</v>
      </c>
      <c r="I198" s="1">
        <f t="shared" si="4"/>
        <v>32537738.649999976</v>
      </c>
    </row>
    <row r="199" spans="1:9" ht="15.75">
      <c r="A199" s="11" t="s">
        <v>115</v>
      </c>
      <c r="B199" s="19" t="s">
        <v>192</v>
      </c>
      <c r="C199" s="14"/>
      <c r="D199" s="24">
        <f>SUBTOTAL(109,D198:D198)</f>
        <v>513709380</v>
      </c>
      <c r="E199" s="24">
        <f>SUBTOTAL(109,E198:E198)</f>
        <v>481171641.35</v>
      </c>
      <c r="F199" s="24">
        <f>SUBTOTAL(109,F198:F198)</f>
        <v>513709380</v>
      </c>
      <c r="G199" s="24">
        <f>SUBTOTAL(109,G198:G198)</f>
        <v>0</v>
      </c>
      <c r="H199" s="24">
        <f>SUBTOTAL(109,H198:H198)</f>
        <v>513709380</v>
      </c>
      <c r="I199" s="1">
        <f aca="true" t="shared" si="6" ref="I199:I262">H199-E199</f>
        <v>32537738.649999976</v>
      </c>
    </row>
    <row r="200" spans="1:9" ht="15.75">
      <c r="A200" s="11" t="s">
        <v>115</v>
      </c>
      <c r="B200" s="37">
        <v>60100</v>
      </c>
      <c r="C200" s="14" t="s">
        <v>7</v>
      </c>
      <c r="D200" s="17">
        <f>'prévision 2017'!G885+'prévision 2017'!G903+'prévision 2017'!G917+'prévision 2017'!G924+'prévision 2017'!G929+'prévision 2017'!G935+'prévision 2017'!G966+'prévision 2017'!G977+'prévision 2017'!G986+'prévision 2017'!G996+'prévision 2017'!G1005+'prévision 2017'!G1016</f>
        <v>12496400</v>
      </c>
      <c r="E200" s="17">
        <f>'prévision 2017'!H885+'prévision 2017'!H903+'prévision 2017'!H917+'prévision 2017'!H924+'prévision 2017'!H929+'prévision 2017'!H935+'prévision 2017'!H966+'prévision 2017'!H977+'prévision 2017'!H986+'prévision 2017'!H996+'prévision 2017'!H1005+'prévision 2017'!H1016</f>
        <v>2596850</v>
      </c>
      <c r="F200" s="17">
        <f>'prévision 2017'!I885+'prévision 2017'!I903+'prévision 2017'!I917+'prévision 2017'!I924+'prévision 2017'!I929+'prévision 2017'!I935+'prévision 2017'!I966+'prévision 2017'!I977+'prévision 2017'!I986+'prévision 2017'!I996+'prévision 2017'!I1005+'prévision 2017'!I1016</f>
        <v>12496400</v>
      </c>
      <c r="G200" s="17">
        <f>'prévision 2017'!J885+'prévision 2017'!J903+'prévision 2017'!J917+'prévision 2017'!J924+'prévision 2017'!J929+'prévision 2017'!J935+'prévision 2017'!J966+'prévision 2017'!J977+'prévision 2017'!J986+'prévision 2017'!J996+'prévision 2017'!J1005+'prévision 2017'!J1016</f>
        <v>0</v>
      </c>
      <c r="H200" s="46">
        <f t="shared" si="5"/>
        <v>12496400</v>
      </c>
      <c r="I200" s="1">
        <f t="shared" si="6"/>
        <v>9899550</v>
      </c>
    </row>
    <row r="201" spans="1:9" ht="15.75">
      <c r="A201" s="11" t="s">
        <v>115</v>
      </c>
      <c r="B201" s="35">
        <v>60101</v>
      </c>
      <c r="C201" s="14" t="s">
        <v>264</v>
      </c>
      <c r="D201" s="17">
        <f>'prévision 2017'!G886+'prévision 2017'!G904+'prévision 2017'!G978+'prévision 2017'!G987+'prévision 2017'!G997+'prévision 2017'!G1006</f>
        <v>2105000</v>
      </c>
      <c r="E201" s="17">
        <f>'prévision 2017'!H886+'prévision 2017'!H904+'prévision 2017'!H978+'prévision 2017'!H987+'prévision 2017'!H997+'prévision 2017'!H1006</f>
        <v>512500</v>
      </c>
      <c r="F201" s="17">
        <f>'prévision 2017'!I886+'prévision 2017'!I904+'prévision 2017'!I978+'prévision 2017'!I987+'prévision 2017'!I997+'prévision 2017'!I1006</f>
        <v>2105000</v>
      </c>
      <c r="G201" s="17">
        <f>'prévision 2017'!J886+'prévision 2017'!J904+'prévision 2017'!J978+'prévision 2017'!J987+'prévision 2017'!J997+'prévision 2017'!J1006</f>
        <v>0</v>
      </c>
      <c r="H201" s="46">
        <f aca="true" t="shared" si="7" ref="H201:H264">F201+G201</f>
        <v>2105000</v>
      </c>
      <c r="I201" s="1">
        <f t="shared" si="6"/>
        <v>1592500</v>
      </c>
    </row>
    <row r="202" spans="1:9" ht="15.75">
      <c r="A202" s="209" t="s">
        <v>115</v>
      </c>
      <c r="B202" s="188">
        <v>6112</v>
      </c>
      <c r="C202" s="14" t="s">
        <v>236</v>
      </c>
      <c r="D202" s="17">
        <f>'prévision 2017'!G895+'prévision 2017'!G907+'prévision 2017'!G939+'prévision 2017'!G969+'prévision 2017'!G989+'prévision 2017'!G999+'prévision 2017'!G1008</f>
        <v>500000</v>
      </c>
      <c r="E202" s="17">
        <f>'prévision 2017'!H895+'prévision 2017'!H907+'prévision 2017'!H939+'prévision 2017'!H969+'prévision 2017'!H989+'prévision 2017'!H999+'prévision 2017'!H1008</f>
        <v>0</v>
      </c>
      <c r="F202" s="17">
        <f>'prévision 2017'!I895+'prévision 2017'!I907+'prévision 2017'!I939+'prévision 2017'!I969+'prévision 2017'!I989+'prévision 2017'!I999+'prévision 2017'!I1008</f>
        <v>500000</v>
      </c>
      <c r="G202" s="17">
        <f>'prévision 2017'!J895+'prévision 2017'!J907+'prévision 2017'!J939+'prévision 2017'!J969+'prévision 2017'!J989+'prévision 2017'!J999+'prévision 2017'!J1008</f>
        <v>0</v>
      </c>
      <c r="H202" s="46">
        <f t="shared" si="7"/>
        <v>500000</v>
      </c>
      <c r="I202" s="1">
        <f t="shared" si="6"/>
        <v>500000</v>
      </c>
    </row>
    <row r="203" spans="1:9" ht="15.75">
      <c r="A203" s="11" t="s">
        <v>115</v>
      </c>
      <c r="B203" s="188">
        <v>6122</v>
      </c>
      <c r="C203" s="14" t="s">
        <v>582</v>
      </c>
      <c r="D203" s="17">
        <f>'prévision 2017'!G887+'prévision 2017'!G905+'prévision 2017'!G918+'prévision 2017'!G930+'prévision 2017'!G938+'prévision 2017'!G968+'prévision 2017'!G979+'prévision 2017'!G988+'prévision 2017'!G998+'prévision 2017'!G1007+'prévision 2017'!G1018</f>
        <v>3475000</v>
      </c>
      <c r="E203" s="17">
        <f>'prévision 2017'!H887+'prévision 2017'!H905+'prévision 2017'!H918+'prévision 2017'!H930+'prévision 2017'!H938+'prévision 2017'!H968+'prévision 2017'!H979+'prévision 2017'!H988+'prévision 2017'!H998+'prévision 2017'!H1007+'prévision 2017'!H1018</f>
        <v>623000</v>
      </c>
      <c r="F203" s="17">
        <f>'prévision 2017'!I887+'prévision 2017'!I905+'prévision 2017'!I918+'prévision 2017'!I930+'prévision 2017'!I938+'prévision 2017'!I968+'prévision 2017'!I979+'prévision 2017'!I988+'prévision 2017'!I998+'prévision 2017'!I1007+'prévision 2017'!I1018</f>
        <v>3475000</v>
      </c>
      <c r="G203" s="17">
        <f>'prévision 2017'!J887+'prévision 2017'!J905+'prévision 2017'!J918+'prévision 2017'!J930+'prévision 2017'!J938+'prévision 2017'!J968+'prévision 2017'!J979+'prévision 2017'!J988+'prévision 2017'!J998+'prévision 2017'!J1007+'prévision 2017'!J1018</f>
        <v>0</v>
      </c>
      <c r="H203" s="46">
        <f t="shared" si="7"/>
        <v>3475000</v>
      </c>
      <c r="I203" s="1">
        <f t="shared" si="6"/>
        <v>2852000</v>
      </c>
    </row>
    <row r="204" spans="1:9" ht="15.75">
      <c r="A204" s="11" t="s">
        <v>115</v>
      </c>
      <c r="B204" s="39">
        <v>6133</v>
      </c>
      <c r="C204" s="14" t="s">
        <v>216</v>
      </c>
      <c r="D204" s="17">
        <f>'prévision 2017'!G888+'prévision 2017'!G937</f>
        <v>6229000</v>
      </c>
      <c r="E204" s="17">
        <f>'prévision 2017'!H888+'prévision 2017'!H937</f>
        <v>0</v>
      </c>
      <c r="F204" s="17">
        <f>'prévision 2017'!I888+'prévision 2017'!I937</f>
        <v>6229000</v>
      </c>
      <c r="G204" s="17">
        <f>'prévision 2017'!J888+'prévision 2017'!J937</f>
        <v>0</v>
      </c>
      <c r="H204" s="46">
        <f t="shared" si="7"/>
        <v>6229000</v>
      </c>
      <c r="I204" s="1">
        <f t="shared" si="6"/>
        <v>6229000</v>
      </c>
    </row>
    <row r="205" spans="1:9" ht="15.75">
      <c r="A205" s="11" t="s">
        <v>115</v>
      </c>
      <c r="B205" s="40">
        <v>6173</v>
      </c>
      <c r="C205" s="14" t="s">
        <v>19</v>
      </c>
      <c r="D205" s="17">
        <f>'prévision 2017'!G925+'prévision 2017'!G980+'prévision 2017'!G1000</f>
        <v>87074000</v>
      </c>
      <c r="E205" s="17">
        <f>'prévision 2017'!H925+'prévision 2017'!H980+'prévision 2017'!H1000</f>
        <v>87066710</v>
      </c>
      <c r="F205" s="17">
        <f>'prévision 2017'!I925+'prévision 2017'!I980+'prévision 2017'!I1000</f>
        <v>87074000</v>
      </c>
      <c r="G205" s="17">
        <f>'prévision 2017'!J925+'prévision 2017'!J980+'prévision 2017'!J1000</f>
        <v>0</v>
      </c>
      <c r="H205" s="46">
        <f t="shared" si="7"/>
        <v>87074000</v>
      </c>
      <c r="I205" s="1">
        <f t="shared" si="6"/>
        <v>7290</v>
      </c>
    </row>
    <row r="206" spans="1:9" ht="15.75">
      <c r="A206" s="11" t="s">
        <v>115</v>
      </c>
      <c r="B206" s="37">
        <v>6175</v>
      </c>
      <c r="C206" s="14" t="s">
        <v>13</v>
      </c>
      <c r="D206" s="17">
        <f>'prévision 2017'!G896+'prévision 2017'!G908</f>
        <v>2000000</v>
      </c>
      <c r="E206" s="17">
        <f>'prévision 2017'!H896+'prévision 2017'!H908</f>
        <v>0</v>
      </c>
      <c r="F206" s="17">
        <f>'prévision 2017'!I896+'prévision 2017'!I908</f>
        <v>2000000</v>
      </c>
      <c r="G206" s="17">
        <f>'prévision 2017'!J896+'prévision 2017'!J908</f>
        <v>0</v>
      </c>
      <c r="H206" s="46">
        <f t="shared" si="7"/>
        <v>2000000</v>
      </c>
      <c r="I206" s="1">
        <f t="shared" si="6"/>
        <v>2000000</v>
      </c>
    </row>
    <row r="207" spans="1:9" ht="15.75">
      <c r="A207" s="11" t="s">
        <v>115</v>
      </c>
      <c r="B207" s="19" t="s">
        <v>191</v>
      </c>
      <c r="C207" s="14"/>
      <c r="D207" s="24">
        <f>SUBTOTAL(109,D200:D206)</f>
        <v>113879400</v>
      </c>
      <c r="E207" s="24">
        <f>SUBTOTAL(109,E200:E206)</f>
        <v>90799060</v>
      </c>
      <c r="F207" s="24">
        <f>SUBTOTAL(109,F200:F206)</f>
        <v>113879400</v>
      </c>
      <c r="G207" s="24">
        <f>SUBTOTAL(109,G200:G206)</f>
        <v>0</v>
      </c>
      <c r="H207" s="24">
        <f>SUBTOTAL(109,H200:H206)</f>
        <v>113879400</v>
      </c>
      <c r="I207" s="1">
        <f t="shared" si="6"/>
        <v>23080340</v>
      </c>
    </row>
    <row r="208" spans="1:9" ht="15.75">
      <c r="A208" s="11" t="s">
        <v>115</v>
      </c>
      <c r="B208" s="37">
        <v>6311</v>
      </c>
      <c r="C208" s="14" t="s">
        <v>280</v>
      </c>
      <c r="D208" s="17">
        <f>'prévision 2017'!G946+'prévision 2017'!G950+'prévision 2017'!G953+'prévision 2017'!G957+'prévision 2017'!G961</f>
        <v>917222683.49</v>
      </c>
      <c r="E208" s="17">
        <f>'prévision 2017'!H946+'prévision 2017'!H950+'prévision 2017'!H953+'prévision 2017'!H957+'prévision 2017'!H961</f>
        <v>1494972683</v>
      </c>
      <c r="F208" s="17">
        <f>'prévision 2017'!I946+'prévision 2017'!I950+'prévision 2017'!I953+'prévision 2017'!I957+'prévision 2017'!I961</f>
        <v>1501222683.49</v>
      </c>
      <c r="G208" s="17">
        <f>'prévision 2017'!J946+'prévision 2017'!J950+'prévision 2017'!J953+'prévision 2017'!J957+'prévision 2017'!J961</f>
        <v>0</v>
      </c>
      <c r="H208" s="46">
        <f t="shared" si="7"/>
        <v>1501222683.49</v>
      </c>
      <c r="I208" s="1">
        <f t="shared" si="6"/>
        <v>6250000.49000001</v>
      </c>
    </row>
    <row r="209" spans="1:9" ht="15.75">
      <c r="A209" s="11" t="s">
        <v>115</v>
      </c>
      <c r="B209" s="37">
        <v>6312</v>
      </c>
      <c r="C209" s="14" t="s">
        <v>282</v>
      </c>
      <c r="D209" s="17">
        <f>'prévision 2017'!G954+'prévision 2017'!G962</f>
        <v>146191200</v>
      </c>
      <c r="E209" s="17">
        <f>'prévision 2017'!H954+'prévision 2017'!H962</f>
        <v>129425334</v>
      </c>
      <c r="F209" s="17">
        <f>'prévision 2017'!I954+'prévision 2017'!I962</f>
        <v>146191200</v>
      </c>
      <c r="G209" s="17">
        <f>'prévision 2017'!J954+'prévision 2017'!J962</f>
        <v>0</v>
      </c>
      <c r="H209" s="46">
        <f t="shared" si="7"/>
        <v>146191200</v>
      </c>
      <c r="I209" s="1">
        <f t="shared" si="6"/>
        <v>16765866</v>
      </c>
    </row>
    <row r="210" spans="1:9" ht="15.75">
      <c r="A210" s="11" t="s">
        <v>115</v>
      </c>
      <c r="B210" s="37">
        <v>6431</v>
      </c>
      <c r="C210" s="14" t="s">
        <v>222</v>
      </c>
      <c r="D210" s="17">
        <f>'prévision 2017'!G897</f>
        <v>60000000</v>
      </c>
      <c r="E210" s="17">
        <f>'prévision 2017'!H897</f>
        <v>3312030</v>
      </c>
      <c r="F210" s="17">
        <f>'prévision 2017'!I897</f>
        <v>60000000</v>
      </c>
      <c r="G210" s="17">
        <f>'prévision 2017'!J897</f>
        <v>0</v>
      </c>
      <c r="H210" s="46">
        <f t="shared" si="7"/>
        <v>60000000</v>
      </c>
      <c r="I210" s="1">
        <f t="shared" si="6"/>
        <v>56687970</v>
      </c>
    </row>
    <row r="211" spans="1:9" ht="15.75">
      <c r="A211" s="11" t="s">
        <v>115</v>
      </c>
      <c r="B211" s="19" t="s">
        <v>193</v>
      </c>
      <c r="C211" s="14" t="s">
        <v>252</v>
      </c>
      <c r="D211" s="24">
        <f>SUBTOTAL(109,D208:D210)</f>
        <v>1123413883.49</v>
      </c>
      <c r="E211" s="24">
        <f>SUBTOTAL(109,E208:E210)</f>
        <v>1627710047</v>
      </c>
      <c r="F211" s="24">
        <f>SUBTOTAL(109,F208:F210)</f>
        <v>1707413883.49</v>
      </c>
      <c r="G211" s="24">
        <f>SUBTOTAL(109,G208:G210)</f>
        <v>0</v>
      </c>
      <c r="H211" s="24">
        <f>SUBTOTAL(109,H208:H210)</f>
        <v>1707413883.49</v>
      </c>
      <c r="I211" s="1">
        <f t="shared" si="6"/>
        <v>79703836.49000001</v>
      </c>
    </row>
    <row r="212" spans="1:9" ht="15.75">
      <c r="A212" s="201" t="s">
        <v>115</v>
      </c>
      <c r="B212" s="188">
        <v>2041</v>
      </c>
      <c r="C212" s="14" t="s">
        <v>557</v>
      </c>
      <c r="D212" s="17">
        <f>'prévision 2017'!G926</f>
        <v>2680000</v>
      </c>
      <c r="E212" s="17"/>
      <c r="F212" s="17">
        <f>'prévision 2017'!I926</f>
        <v>2680000</v>
      </c>
      <c r="G212" s="17">
        <f>'prévision 2017'!J926</f>
        <v>0</v>
      </c>
      <c r="H212" s="46">
        <f t="shared" si="7"/>
        <v>2680000</v>
      </c>
      <c r="I212" s="1">
        <f t="shared" si="6"/>
        <v>2680000</v>
      </c>
    </row>
    <row r="213" spans="1:9" ht="15.75">
      <c r="A213" s="11" t="s">
        <v>115</v>
      </c>
      <c r="B213" s="162">
        <v>2121</v>
      </c>
      <c r="C213" s="14" t="s">
        <v>605</v>
      </c>
      <c r="D213" s="17">
        <f>'prévision 2017'!G898+'prévision 2017'!G940+'prévision 2017'!G971+'prévision 2017'!G990+'prévision 2017'!G1001+'prévision 2017'!G1009</f>
        <v>145000000</v>
      </c>
      <c r="E213" s="17">
        <f>'prévision 2017'!H898+'prévision 2017'!H940+'prévision 2017'!H971+'prévision 2017'!H990+'prévision 2017'!H1001+'prévision 2017'!H1009</f>
        <v>0</v>
      </c>
      <c r="F213" s="17">
        <f>'prévision 2017'!I898+'prévision 2017'!I940+'prévision 2017'!I971+'prévision 2017'!I990+'prévision 2017'!I1001+'prévision 2017'!I1009</f>
        <v>145000000</v>
      </c>
      <c r="G213" s="17">
        <f>'prévision 2017'!J898+'prévision 2017'!J940+'prévision 2017'!J971+'prévision 2017'!J990+'prévision 2017'!J1001+'prévision 2017'!J1009</f>
        <v>0</v>
      </c>
      <c r="H213" s="46">
        <f t="shared" si="7"/>
        <v>145000000</v>
      </c>
      <c r="I213" s="1">
        <f t="shared" si="6"/>
        <v>145000000</v>
      </c>
    </row>
    <row r="214" spans="1:9" ht="15.75">
      <c r="A214" s="201" t="s">
        <v>115</v>
      </c>
      <c r="B214" s="188">
        <v>21221</v>
      </c>
      <c r="C214" s="14" t="s">
        <v>655</v>
      </c>
      <c r="D214" s="17">
        <f>'prévision 2017'!G1011</f>
        <v>200000000</v>
      </c>
      <c r="E214" s="17">
        <f>'prévision 2017'!H1011</f>
        <v>0</v>
      </c>
      <c r="F214" s="17">
        <f>'prévision 2017'!I1011</f>
        <v>200000000</v>
      </c>
      <c r="G214" s="17">
        <f>'prévision 2017'!J1011</f>
        <v>0</v>
      </c>
      <c r="H214" s="46">
        <f t="shared" si="7"/>
        <v>200000000</v>
      </c>
      <c r="I214" s="1">
        <f t="shared" si="6"/>
        <v>200000000</v>
      </c>
    </row>
    <row r="215" spans="1:9" ht="15.75">
      <c r="A215" s="215" t="s">
        <v>115</v>
      </c>
      <c r="B215" s="188">
        <v>21222</v>
      </c>
      <c r="C215" s="14" t="s">
        <v>653</v>
      </c>
      <c r="D215" s="17">
        <f>'prévision 2017'!IF1000</f>
        <v>0</v>
      </c>
      <c r="E215" s="17">
        <f>'prévision 2017'!IG1000</f>
        <v>0</v>
      </c>
      <c r="F215" s="17">
        <f>'prévision 2017'!IH1000</f>
        <v>0</v>
      </c>
      <c r="G215" s="17">
        <f>'prévision 2017'!II1000</f>
        <v>0</v>
      </c>
      <c r="H215" s="46">
        <f t="shared" si="7"/>
        <v>0</v>
      </c>
      <c r="I215" s="1">
        <f t="shared" si="6"/>
        <v>0</v>
      </c>
    </row>
    <row r="216" spans="1:9" ht="15.75">
      <c r="A216" s="11" t="s">
        <v>115</v>
      </c>
      <c r="B216" s="188">
        <v>2161</v>
      </c>
      <c r="C216" s="14" t="s">
        <v>286</v>
      </c>
      <c r="D216" s="17">
        <f>'prévision 2017'!G913</f>
        <v>0</v>
      </c>
      <c r="E216" s="17">
        <f>'prévision 2017'!H913</f>
        <v>0</v>
      </c>
      <c r="F216" s="17">
        <f>'prévision 2017'!I913</f>
        <v>0</v>
      </c>
      <c r="G216" s="17">
        <f>'prévision 2017'!J913</f>
        <v>0</v>
      </c>
      <c r="H216" s="46">
        <f t="shared" si="7"/>
        <v>0</v>
      </c>
      <c r="I216" s="1">
        <f t="shared" si="6"/>
        <v>0</v>
      </c>
    </row>
    <row r="217" spans="1:9" ht="15.75">
      <c r="A217" s="201" t="s">
        <v>115</v>
      </c>
      <c r="B217" s="188">
        <v>2162</v>
      </c>
      <c r="C217" s="14" t="s">
        <v>553</v>
      </c>
      <c r="D217" s="17">
        <f>'prévision 2017'!G912+'prévision 2017'!G973+'prévision 2017'!G992</f>
        <v>0</v>
      </c>
      <c r="E217" s="17">
        <f>'prévision 2017'!H912+'prévision 2017'!H973+'prévision 2017'!H992</f>
        <v>0</v>
      </c>
      <c r="F217" s="17">
        <f>'prévision 2017'!I912+'prévision 2017'!I973+'prévision 2017'!I992</f>
        <v>0</v>
      </c>
      <c r="G217" s="17">
        <f>'prévision 2017'!J912+'prévision 2017'!J973+'prévision 2017'!J992</f>
        <v>0</v>
      </c>
      <c r="H217" s="46">
        <f t="shared" si="7"/>
        <v>0</v>
      </c>
      <c r="I217" s="1">
        <f t="shared" si="6"/>
        <v>0</v>
      </c>
    </row>
    <row r="218" spans="1:9" ht="15.75">
      <c r="A218" s="11" t="s">
        <v>115</v>
      </c>
      <c r="B218" s="22" t="s">
        <v>194</v>
      </c>
      <c r="C218" s="14"/>
      <c r="D218" s="24">
        <f>SUBTOTAL(109,D212:D217)</f>
        <v>347680000</v>
      </c>
      <c r="E218" s="24">
        <f>SUBTOTAL(109,E213:E217)</f>
        <v>0</v>
      </c>
      <c r="F218" s="24">
        <f>SUBTOTAL(109,F212:F217)</f>
        <v>347680000</v>
      </c>
      <c r="G218" s="24">
        <f>SUBTOTAL(109,G212:G217)</f>
        <v>0</v>
      </c>
      <c r="H218" s="24">
        <f>SUBTOTAL(109,H212:H217)</f>
        <v>347680000</v>
      </c>
      <c r="I218" s="1">
        <f t="shared" si="6"/>
        <v>347680000</v>
      </c>
    </row>
    <row r="219" spans="1:9" ht="15.75">
      <c r="A219" s="11" t="s">
        <v>115</v>
      </c>
      <c r="B219" s="15" t="s">
        <v>72</v>
      </c>
      <c r="C219" s="14"/>
      <c r="D219" s="530">
        <f>D218+D211+D207+D199</f>
        <v>2098682663.49</v>
      </c>
      <c r="E219" s="530">
        <f>E218+E211+E207+E199</f>
        <v>2199680748.35</v>
      </c>
      <c r="F219" s="530">
        <f>F218+F211+F207+F199</f>
        <v>2682682663.49</v>
      </c>
      <c r="G219" s="530">
        <f>G218+G211+G207+G199</f>
        <v>0</v>
      </c>
      <c r="H219" s="530">
        <f>H218+H211+H207+H199</f>
        <v>2682682663.49</v>
      </c>
      <c r="I219" s="1">
        <f t="shared" si="6"/>
        <v>483001915.13999987</v>
      </c>
    </row>
    <row r="220" spans="1:9" ht="16.5">
      <c r="A220" s="11" t="s">
        <v>127</v>
      </c>
      <c r="B220" s="223" t="s">
        <v>149</v>
      </c>
      <c r="C220" s="14"/>
      <c r="D220" s="17"/>
      <c r="E220" s="17"/>
      <c r="F220" s="17"/>
      <c r="H220" s="46"/>
      <c r="I220" s="1">
        <f t="shared" si="6"/>
        <v>0</v>
      </c>
    </row>
    <row r="221" spans="1:9" ht="15.75">
      <c r="A221" s="11" t="s">
        <v>127</v>
      </c>
      <c r="B221" s="37">
        <v>6611</v>
      </c>
      <c r="C221" s="14" t="s">
        <v>6</v>
      </c>
      <c r="D221" s="17">
        <f>'prévision 2017'!G1025+'prévision 2017'!G1035+'prévision 2017'!G1049+'prévision 2017'!G1065+'prévision 2017'!G1073+'prévision 2017'!G1128</f>
        <v>920378149</v>
      </c>
      <c r="E221" s="17">
        <f>'prévision 2017'!H1025+'prévision 2017'!H1035+'prévision 2017'!H1049+'prévision 2017'!H1065+'prévision 2017'!H1073+'prévision 2017'!H1128</f>
        <v>998682596.23</v>
      </c>
      <c r="F221" s="17">
        <f>'prévision 2017'!I1025+'prévision 2017'!I1035+'prévision 2017'!I1049+'prévision 2017'!I1065+'prévision 2017'!I1073+'prévision 2017'!I1128</f>
        <v>920378149</v>
      </c>
      <c r="G221" s="17">
        <f>'prévision 2017'!J1025+'prévision 2017'!J1035+'prévision 2017'!J1049+'prévision 2017'!J1065+'prévision 2017'!J1073+'prévision 2017'!J1128</f>
        <v>0</v>
      </c>
      <c r="H221" s="46">
        <f t="shared" si="7"/>
        <v>920378149</v>
      </c>
      <c r="I221" s="1">
        <f t="shared" si="6"/>
        <v>-78304447.23000002</v>
      </c>
    </row>
    <row r="222" spans="1:9" ht="15.75">
      <c r="A222" s="11" t="s">
        <v>127</v>
      </c>
      <c r="B222" s="27" t="s">
        <v>192</v>
      </c>
      <c r="C222" s="14"/>
      <c r="D222" s="24">
        <f>SUBTOTAL(109,D221:D221)</f>
        <v>920378149</v>
      </c>
      <c r="E222" s="24">
        <f>SUBTOTAL(109,E221:E221)</f>
        <v>998682596.23</v>
      </c>
      <c r="F222" s="24">
        <f>SUBTOTAL(109,F221:F221)</f>
        <v>920378149</v>
      </c>
      <c r="G222" s="24">
        <f>SUBTOTAL(109,G221:G221)</f>
        <v>0</v>
      </c>
      <c r="H222" s="24">
        <f>SUBTOTAL(109,H221:H221)</f>
        <v>920378149</v>
      </c>
      <c r="I222" s="1">
        <f t="shared" si="6"/>
        <v>-78304447.23000002</v>
      </c>
    </row>
    <row r="223" spans="1:9" ht="15.75">
      <c r="A223" s="11" t="s">
        <v>127</v>
      </c>
      <c r="B223" s="37">
        <v>60100</v>
      </c>
      <c r="C223" s="14" t="s">
        <v>7</v>
      </c>
      <c r="D223" s="17">
        <f>'prévision 2017'!G1026+'prévision 2017'!G1036+'prévision 2017'!G1050+'prévision 2017'!G1057+'prévision 2017'!G1066+'prévision 2017'!G1074+'prévision 2017'!G1081+'prévision 2017'!G1086+'prévision 2017'!G1092+'prévision 2017'!G1111+'prévision 2017'!G1118</f>
        <v>9992393</v>
      </c>
      <c r="E223" s="17">
        <f>'prévision 2017'!H1026+'prévision 2017'!H1036+'prévision 2017'!H1050+'prévision 2017'!H1057+'prévision 2017'!H1066+'prévision 2017'!H1074+'prévision 2017'!H1081+'prévision 2017'!H1086+'prévision 2017'!H1092+'prévision 2017'!H1111+'prévision 2017'!H1118</f>
        <v>2477850</v>
      </c>
      <c r="F223" s="17">
        <f>'prévision 2017'!I1026+'prévision 2017'!I1036+'prévision 2017'!I1050+'prévision 2017'!I1057+'prévision 2017'!I1066+'prévision 2017'!I1074+'prévision 2017'!I1081+'prévision 2017'!I1086+'prévision 2017'!I1092+'prévision 2017'!I1111+'prévision 2017'!I1118</f>
        <v>9992393</v>
      </c>
      <c r="G223" s="17">
        <f>'prévision 2017'!J1026+'prévision 2017'!J1036+'prévision 2017'!J1050+'prévision 2017'!J1057+'prévision 2017'!J1066+'prévision 2017'!J1074+'prévision 2017'!J1081+'prévision 2017'!J1086+'prévision 2017'!J1092+'prévision 2017'!J1111+'prévision 2017'!J1118</f>
        <v>0</v>
      </c>
      <c r="H223" s="46">
        <f t="shared" si="7"/>
        <v>9992393</v>
      </c>
      <c r="I223" s="1">
        <f t="shared" si="6"/>
        <v>7514543</v>
      </c>
    </row>
    <row r="224" spans="1:9" ht="15.75">
      <c r="A224" s="11" t="s">
        <v>127</v>
      </c>
      <c r="B224" s="37">
        <v>60101</v>
      </c>
      <c r="C224" s="14" t="s">
        <v>526</v>
      </c>
      <c r="D224" s="17">
        <f>'prévision 2017'!G1027+'prévision 2017'!G1037</f>
        <v>0</v>
      </c>
      <c r="E224" s="17">
        <f>'prévision 2017'!H1027+'prévision 2017'!H1037</f>
        <v>0</v>
      </c>
      <c r="F224" s="17">
        <f>'prévision 2017'!I1027+'prévision 2017'!I1037</f>
        <v>0</v>
      </c>
      <c r="G224" s="17">
        <f>'prévision 2017'!J1027+'prévision 2017'!J1037</f>
        <v>0</v>
      </c>
      <c r="H224" s="46">
        <f t="shared" si="7"/>
        <v>0</v>
      </c>
      <c r="I224" s="1">
        <f t="shared" si="6"/>
        <v>0</v>
      </c>
    </row>
    <row r="225" spans="1:9" ht="15.75">
      <c r="A225" s="11" t="s">
        <v>127</v>
      </c>
      <c r="B225" s="188">
        <v>6122</v>
      </c>
      <c r="C225" s="14" t="s">
        <v>582</v>
      </c>
      <c r="D225" s="17">
        <f>'prévision 2017'!G1028+'prévision 2017'!G1038+'prévision 2017'!G1051+'prévision 2017'!G1058+'prévision 2017'!G1067+'prévision 2017'!G1075+'prévision 2017'!G1082+'prévision 2017'!G1087+'prévision 2017'!G1094+'prévision 2017'!G1112+'prévision 2017'!G1119</f>
        <v>5810000</v>
      </c>
      <c r="E225" s="17">
        <f>'prévision 2017'!H1028+'prévision 2017'!H1038+'prévision 2017'!H1051+'prévision 2017'!H1058+'prévision 2017'!H1067+'prévision 2017'!H1075+'prévision 2017'!H1082+'prévision 2017'!H1087+'prévision 2017'!H1094+'prévision 2017'!H1112+'prévision 2017'!H1119</f>
        <v>792500</v>
      </c>
      <c r="F225" s="17">
        <f>'prévision 2017'!I1028+'prévision 2017'!I1038+'prévision 2017'!I1051+'prévision 2017'!I1058+'prévision 2017'!I1067+'prévision 2017'!I1075+'prévision 2017'!I1082+'prévision 2017'!I1087+'prévision 2017'!I1094+'prévision 2017'!I1112+'prévision 2017'!I1119</f>
        <v>5810000</v>
      </c>
      <c r="G225" s="17">
        <f>'prévision 2017'!J1028+'prévision 2017'!J1038+'prévision 2017'!J1051+'prévision 2017'!J1058+'prévision 2017'!J1067+'prévision 2017'!J1075+'prévision 2017'!J1082+'prévision 2017'!J1087+'prévision 2017'!J1094+'prévision 2017'!J1112+'prévision 2017'!J1119</f>
        <v>0</v>
      </c>
      <c r="H225" s="46">
        <f t="shared" si="7"/>
        <v>5810000</v>
      </c>
      <c r="I225" s="1">
        <f t="shared" si="6"/>
        <v>5017500</v>
      </c>
    </row>
    <row r="226" spans="1:9" ht="15.75">
      <c r="A226" s="201" t="s">
        <v>127</v>
      </c>
      <c r="B226" s="188">
        <v>61321</v>
      </c>
      <c r="C226" s="14" t="s">
        <v>629</v>
      </c>
      <c r="D226" s="17">
        <f>'prévision 2017'!G1113</f>
        <v>666959880</v>
      </c>
      <c r="E226" s="17">
        <f>'prévision 2017'!H1113</f>
        <v>798414980</v>
      </c>
      <c r="F226" s="17">
        <f>'prévision 2017'!I1113</f>
        <v>666959880</v>
      </c>
      <c r="G226" s="17">
        <f>'prévision 2017'!J1113</f>
        <v>0</v>
      </c>
      <c r="H226" s="46">
        <f t="shared" si="7"/>
        <v>666959880</v>
      </c>
      <c r="I226" s="1">
        <f t="shared" si="6"/>
        <v>-131455100</v>
      </c>
    </row>
    <row r="227" spans="1:9" ht="15.75">
      <c r="A227" s="201" t="s">
        <v>127</v>
      </c>
      <c r="B227" s="188">
        <v>61322</v>
      </c>
      <c r="C227" s="14" t="s">
        <v>630</v>
      </c>
      <c r="D227" s="17">
        <f>'prévision 2017'!G1114</f>
        <v>688648300</v>
      </c>
      <c r="E227" s="17">
        <f>'prévision 2017'!H1114</f>
        <v>52123983</v>
      </c>
      <c r="F227" s="17">
        <f>'prévision 2017'!I1114</f>
        <v>688648300</v>
      </c>
      <c r="G227" s="17">
        <f>'prévision 2017'!J1114</f>
        <v>0</v>
      </c>
      <c r="H227" s="46">
        <f t="shared" si="7"/>
        <v>688648300</v>
      </c>
      <c r="I227" s="1">
        <f t="shared" si="6"/>
        <v>636524317</v>
      </c>
    </row>
    <row r="228" spans="1:9" ht="15.75">
      <c r="A228" s="11" t="s">
        <v>127</v>
      </c>
      <c r="B228" s="37">
        <v>6172</v>
      </c>
      <c r="C228" s="14" t="s">
        <v>157</v>
      </c>
      <c r="D228" s="17">
        <f>'prévision 2017'!G1062</f>
        <v>0</v>
      </c>
      <c r="E228" s="17">
        <f>'prévision 2017'!H1062</f>
        <v>0</v>
      </c>
      <c r="F228" s="17">
        <f>'prévision 2017'!I1062</f>
        <v>0</v>
      </c>
      <c r="G228" s="17">
        <f>'prévision 2017'!J1062</f>
        <v>0</v>
      </c>
      <c r="H228" s="46">
        <f t="shared" si="7"/>
        <v>0</v>
      </c>
      <c r="I228" s="1">
        <f t="shared" si="6"/>
        <v>0</v>
      </c>
    </row>
    <row r="229" spans="1:9" ht="15.75">
      <c r="A229" s="11" t="s">
        <v>127</v>
      </c>
      <c r="B229" s="35">
        <v>6173</v>
      </c>
      <c r="C229" s="14" t="s">
        <v>19</v>
      </c>
      <c r="D229" s="17">
        <f>'prévision 2017'!G1101+'prévision 2017'!G1122+'prévision 2017'!G1125+'prévision 2017'!G1129</f>
        <v>72166121</v>
      </c>
      <c r="E229" s="17">
        <f>'prévision 2017'!H1101+'prévision 2017'!H1122+'prévision 2017'!H1125+'prévision 2017'!H1129</f>
        <v>30250000</v>
      </c>
      <c r="F229" s="17">
        <f>'prévision 2017'!I1101+'prévision 2017'!I1122+'prévision 2017'!I1125+'prévision 2017'!I1129</f>
        <v>72166121</v>
      </c>
      <c r="G229" s="17">
        <f>'prévision 2017'!J1101+'prévision 2017'!J1122+'prévision 2017'!J1125+'prévision 2017'!J1129</f>
        <v>0</v>
      </c>
      <c r="H229" s="46">
        <f t="shared" si="7"/>
        <v>72166121</v>
      </c>
      <c r="I229" s="1">
        <f t="shared" si="6"/>
        <v>41916121</v>
      </c>
    </row>
    <row r="230" spans="1:9" ht="15.75">
      <c r="A230" s="11" t="s">
        <v>127</v>
      </c>
      <c r="B230" s="50">
        <v>6174</v>
      </c>
      <c r="C230" s="14" t="s">
        <v>40</v>
      </c>
      <c r="D230" s="17">
        <f>'prévision 2017'!G1076+'prévision 2017'!G1083+'prévision 2017'!G1088+'prévision 2017'!G1115</f>
        <v>3364000</v>
      </c>
      <c r="E230" s="17">
        <f>'prévision 2017'!H1076+'prévision 2017'!H1083+'prévision 2017'!H1088+'prévision 2017'!H1115</f>
        <v>0</v>
      </c>
      <c r="F230" s="17">
        <f>'prévision 2017'!I1076+'prévision 2017'!I1083+'prévision 2017'!I1088+'prévision 2017'!I1115</f>
        <v>3364000</v>
      </c>
      <c r="G230" s="17">
        <f>'prévision 2017'!J1076+'prévision 2017'!J1083+'prévision 2017'!J1088+'prévision 2017'!J1115</f>
        <v>0</v>
      </c>
      <c r="H230" s="46">
        <f t="shared" si="7"/>
        <v>3364000</v>
      </c>
      <c r="I230" s="1">
        <f t="shared" si="6"/>
        <v>3364000</v>
      </c>
    </row>
    <row r="231" spans="1:9" ht="15.75">
      <c r="A231" s="11" t="s">
        <v>127</v>
      </c>
      <c r="B231" s="37">
        <v>6175</v>
      </c>
      <c r="C231" s="14" t="s">
        <v>13</v>
      </c>
      <c r="D231" s="17">
        <f>'prévision 2017'!G1031+'prévision 2017'!G1039+'prévision 2017'!G1070+'prévision 2017'!G1102</f>
        <v>891325</v>
      </c>
      <c r="E231" s="17">
        <f>'prévision 2017'!H1031+'prévision 2017'!H1039+'prévision 2017'!H1070+'prévision 2017'!H1102</f>
        <v>653247</v>
      </c>
      <c r="F231" s="17">
        <f>'prévision 2017'!I1031+'prévision 2017'!I1039+'prévision 2017'!I1070+'prévision 2017'!I1102</f>
        <v>891325</v>
      </c>
      <c r="G231" s="17">
        <f>'prévision 2017'!J1031+'prévision 2017'!J1039+'prévision 2017'!J1070+'prévision 2017'!J1102</f>
        <v>0</v>
      </c>
      <c r="H231" s="46">
        <f t="shared" si="7"/>
        <v>891325</v>
      </c>
      <c r="I231" s="1">
        <f t="shared" si="6"/>
        <v>238078</v>
      </c>
    </row>
    <row r="232" spans="1:9" ht="15.75">
      <c r="A232" s="11" t="s">
        <v>127</v>
      </c>
      <c r="B232" s="44" t="s">
        <v>191</v>
      </c>
      <c r="C232" s="14"/>
      <c r="D232" s="24">
        <f>SUBTOTAL(109,D223:D231)</f>
        <v>1447832019</v>
      </c>
      <c r="E232" s="24">
        <f>SUBTOTAL(109,E223:E231)</f>
        <v>884712560</v>
      </c>
      <c r="F232" s="24">
        <f>SUBTOTAL(109,F223:F231)</f>
        <v>1447832019</v>
      </c>
      <c r="G232" s="24">
        <f>SUBTOTAL(109,G223:G231)</f>
        <v>0</v>
      </c>
      <c r="H232" s="24">
        <f>SUBTOTAL(109,H223:H231)</f>
        <v>1447832019</v>
      </c>
      <c r="I232" s="1">
        <f t="shared" si="6"/>
        <v>563119459</v>
      </c>
    </row>
    <row r="233" spans="1:9" ht="15.75">
      <c r="A233" s="11" t="s">
        <v>127</v>
      </c>
      <c r="B233" s="37">
        <v>6311</v>
      </c>
      <c r="C233" s="14" t="s">
        <v>152</v>
      </c>
      <c r="D233" s="17">
        <f>'prévision 2017'!G1042+'prévision 2017'!G1046+'prévision 2017'!G1054</f>
        <v>300000000</v>
      </c>
      <c r="E233" s="17">
        <f>'prévision 2017'!H1042+'prévision 2017'!H1046+'prévision 2017'!H1054</f>
        <v>300000000</v>
      </c>
      <c r="F233" s="17">
        <f>'prévision 2017'!I1042+'prévision 2017'!I1046+'prévision 2017'!I1054</f>
        <v>300000000</v>
      </c>
      <c r="G233" s="17">
        <f>'prévision 2017'!J1042+'prévision 2017'!J1046+'prévision 2017'!J1054</f>
        <v>0</v>
      </c>
      <c r="H233" s="46">
        <f t="shared" si="7"/>
        <v>300000000</v>
      </c>
      <c r="I233" s="1">
        <f t="shared" si="6"/>
        <v>0</v>
      </c>
    </row>
    <row r="234" spans="1:9" ht="15.75">
      <c r="A234" s="11" t="s">
        <v>127</v>
      </c>
      <c r="B234" s="22" t="s">
        <v>193</v>
      </c>
      <c r="C234" s="14"/>
      <c r="D234" s="24">
        <f>SUBTOTAL(109,D233:D233)</f>
        <v>300000000</v>
      </c>
      <c r="E234" s="24">
        <f>SUBTOTAL(109,E233:E233)</f>
        <v>300000000</v>
      </c>
      <c r="F234" s="24">
        <f>SUBTOTAL(109,F233:F233)</f>
        <v>300000000</v>
      </c>
      <c r="G234" s="24">
        <f>SUBTOTAL(109,G233:G233)</f>
        <v>0</v>
      </c>
      <c r="H234" s="24">
        <f>SUBTOTAL(109,H233:H233)</f>
        <v>300000000</v>
      </c>
      <c r="I234" s="1">
        <f t="shared" si="6"/>
        <v>0</v>
      </c>
    </row>
    <row r="235" spans="1:9" ht="15.75">
      <c r="A235" s="11" t="s">
        <v>127</v>
      </c>
      <c r="B235" s="187">
        <v>2121</v>
      </c>
      <c r="C235" s="14" t="s">
        <v>590</v>
      </c>
      <c r="D235" s="17"/>
      <c r="E235" s="17"/>
      <c r="F235" s="17"/>
      <c r="H235" s="46">
        <f t="shared" si="7"/>
        <v>0</v>
      </c>
      <c r="I235" s="1">
        <f t="shared" si="6"/>
        <v>0</v>
      </c>
    </row>
    <row r="236" spans="1:9" ht="15.75">
      <c r="A236" s="11" t="s">
        <v>127</v>
      </c>
      <c r="B236" s="187">
        <v>2128</v>
      </c>
      <c r="C236" s="14" t="s">
        <v>600</v>
      </c>
      <c r="D236" s="17">
        <f>'prévision 2017'!G1106</f>
        <v>500000000</v>
      </c>
      <c r="E236" s="17">
        <f>'prévision 2017'!H1106</f>
        <v>0</v>
      </c>
      <c r="F236" s="17">
        <f>'prévision 2017'!I1106</f>
        <v>233000000</v>
      </c>
      <c r="G236" s="17">
        <f>'prévision 2017'!J1106</f>
        <v>-233000000</v>
      </c>
      <c r="H236" s="46">
        <f t="shared" si="7"/>
        <v>0</v>
      </c>
      <c r="I236" s="1">
        <f t="shared" si="6"/>
        <v>0</v>
      </c>
    </row>
    <row r="237" spans="1:9" ht="15.75">
      <c r="A237" s="11" t="s">
        <v>127</v>
      </c>
      <c r="B237" s="188">
        <v>2156</v>
      </c>
      <c r="C237" s="14" t="s">
        <v>572</v>
      </c>
      <c r="D237" s="17">
        <f>'prévision 2017'!G1043</f>
        <v>1000000000</v>
      </c>
      <c r="E237" s="17">
        <f>'prévision 2017'!H1043</f>
        <v>500000000</v>
      </c>
      <c r="F237" s="17">
        <f>'prévision 2017'!I1043</f>
        <v>1000000000</v>
      </c>
      <c r="G237" s="17">
        <f>'prévision 2017'!J1043</f>
        <v>0</v>
      </c>
      <c r="H237" s="46">
        <f t="shared" si="7"/>
        <v>1000000000</v>
      </c>
      <c r="I237" s="1">
        <f t="shared" si="6"/>
        <v>500000000</v>
      </c>
    </row>
    <row r="238" spans="1:9" ht="15.75">
      <c r="A238" s="11" t="s">
        <v>127</v>
      </c>
      <c r="B238" s="187">
        <v>2161</v>
      </c>
      <c r="C238" s="14" t="s">
        <v>628</v>
      </c>
      <c r="D238" s="17">
        <f>'prévision 2017'!G1107</f>
        <v>1233000000</v>
      </c>
      <c r="E238" s="17">
        <f>'prévision 2017'!H1107</f>
        <v>0</v>
      </c>
      <c r="F238" s="17">
        <f>'prévision 2017'!I1107</f>
        <v>0</v>
      </c>
      <c r="G238" s="17">
        <f>'prévision 2017'!J1107</f>
        <v>0</v>
      </c>
      <c r="H238" s="46">
        <f t="shared" si="7"/>
        <v>0</v>
      </c>
      <c r="I238" s="1">
        <f t="shared" si="6"/>
        <v>0</v>
      </c>
    </row>
    <row r="239" spans="1:9" ht="15.75">
      <c r="A239" s="11" t="s">
        <v>127</v>
      </c>
      <c r="B239" s="187">
        <v>2182</v>
      </c>
      <c r="C239" s="14" t="s">
        <v>43</v>
      </c>
      <c r="D239" s="17">
        <f>'prévision 2017'!G1108</f>
        <v>0</v>
      </c>
      <c r="E239" s="17">
        <f>'prévision 2017'!H1108</f>
        <v>0</v>
      </c>
      <c r="F239" s="17">
        <f>'prévision 2017'!I1108</f>
        <v>0</v>
      </c>
      <c r="G239" s="17">
        <f>'prévision 2017'!J1108</f>
        <v>0</v>
      </c>
      <c r="H239" s="46">
        <f t="shared" si="7"/>
        <v>0</v>
      </c>
      <c r="I239" s="1">
        <f t="shared" si="6"/>
        <v>0</v>
      </c>
    </row>
    <row r="240" spans="1:9" ht="15.75">
      <c r="A240" s="11" t="s">
        <v>127</v>
      </c>
      <c r="B240" s="188">
        <v>2183</v>
      </c>
      <c r="C240" s="14" t="s">
        <v>569</v>
      </c>
      <c r="D240" s="17"/>
      <c r="E240" s="17"/>
      <c r="F240" s="17"/>
      <c r="H240" s="46">
        <f t="shared" si="7"/>
        <v>0</v>
      </c>
      <c r="I240" s="1">
        <f t="shared" si="6"/>
        <v>0</v>
      </c>
    </row>
    <row r="241" spans="1:9" ht="15.75">
      <c r="A241" s="11" t="s">
        <v>127</v>
      </c>
      <c r="B241" s="225" t="s">
        <v>194</v>
      </c>
      <c r="C241" s="14"/>
      <c r="D241" s="24">
        <f>SUBTOTAL(109,D235:D240)</f>
        <v>2733000000</v>
      </c>
      <c r="E241" s="24">
        <f>SUBTOTAL(109,E235:E240)</f>
        <v>500000000</v>
      </c>
      <c r="F241" s="24">
        <f>SUBTOTAL(109,F235:F240)</f>
        <v>1233000000</v>
      </c>
      <c r="G241" s="24">
        <f>SUBTOTAL(109,G235:G240)</f>
        <v>-233000000</v>
      </c>
      <c r="H241" s="24">
        <f>SUBTOTAL(109,H235:H240)</f>
        <v>1000000000</v>
      </c>
      <c r="I241" s="1">
        <f t="shared" si="6"/>
        <v>500000000</v>
      </c>
    </row>
    <row r="242" spans="1:9" ht="15.75">
      <c r="A242" s="11" t="s">
        <v>127</v>
      </c>
      <c r="B242" s="15" t="s">
        <v>72</v>
      </c>
      <c r="C242" s="14"/>
      <c r="D242" s="24">
        <f>D234+D232+D222+D241</f>
        <v>5401210168</v>
      </c>
      <c r="E242" s="24">
        <f>E234+E232+E222+E241</f>
        <v>2683395156.23</v>
      </c>
      <c r="F242" s="24">
        <f>F234+F232+F222+F241</f>
        <v>3901210168</v>
      </c>
      <c r="G242" s="24">
        <f>G234+G232+G222+G241</f>
        <v>-233000000</v>
      </c>
      <c r="H242" s="24">
        <f>H234+H232+H222+H241</f>
        <v>3668210168</v>
      </c>
      <c r="I242" s="1">
        <f t="shared" si="6"/>
        <v>984815011.77</v>
      </c>
    </row>
    <row r="243" spans="1:9" ht="16.5">
      <c r="A243" s="11" t="s">
        <v>130</v>
      </c>
      <c r="B243" s="223" t="s">
        <v>641</v>
      </c>
      <c r="C243" s="14"/>
      <c r="D243" s="17"/>
      <c r="E243" s="17"/>
      <c r="F243" s="17"/>
      <c r="H243" s="46"/>
      <c r="I243" s="1">
        <f t="shared" si="6"/>
        <v>0</v>
      </c>
    </row>
    <row r="244" spans="1:9" ht="15.75">
      <c r="A244" s="11" t="s">
        <v>130</v>
      </c>
      <c r="B244" s="37">
        <v>6611</v>
      </c>
      <c r="C244" s="14" t="s">
        <v>6</v>
      </c>
      <c r="D244" s="17">
        <f>'prévision 2017'!G1134+'prévision 2017'!G1145+'prévision 2017'!G1152+'prévision 2017'!G1166+'prévision 2017'!G1178+'prévision 2017'!G1191+'prévision 2017'!G1201+'prévision 2017'!G1214+'prévision 2017'!G1224</f>
        <v>97737800</v>
      </c>
      <c r="E244" s="17">
        <f>'prévision 2017'!H1134+'prévision 2017'!H1145+'prévision 2017'!H1152+'prévision 2017'!H1166+'prévision 2017'!H1178+'prévision 2017'!H1191+'prévision 2017'!H1201+'prévision 2017'!H1214+'prévision 2017'!H1224</f>
        <v>103303367.15</v>
      </c>
      <c r="F244" s="17">
        <f>'prévision 2017'!I1134+'prévision 2017'!I1145+'prévision 2017'!I1152+'prévision 2017'!I1166+'prévision 2017'!I1178+'prévision 2017'!I1191+'prévision 2017'!I1201+'prévision 2017'!I1214+'prévision 2017'!I1224</f>
        <v>97737800</v>
      </c>
      <c r="G244" s="17">
        <f>'prévision 2017'!J1134+'prévision 2017'!J1145+'prévision 2017'!J1152+'prévision 2017'!J1166+'prévision 2017'!J1178+'prévision 2017'!J1191+'prévision 2017'!J1201+'prévision 2017'!J1214+'prévision 2017'!J1224</f>
        <v>0</v>
      </c>
      <c r="H244" s="46">
        <f t="shared" si="7"/>
        <v>97737800</v>
      </c>
      <c r="I244" s="1">
        <f t="shared" si="6"/>
        <v>-5565567.150000006</v>
      </c>
    </row>
    <row r="245" spans="1:9" ht="15.75">
      <c r="A245" s="11" t="s">
        <v>130</v>
      </c>
      <c r="B245" s="22" t="s">
        <v>192</v>
      </c>
      <c r="C245" s="14"/>
      <c r="D245" s="24">
        <f>SUBTOTAL(109,D244:D244)</f>
        <v>97737800</v>
      </c>
      <c r="E245" s="24">
        <f>SUBTOTAL(109,E244:E244)</f>
        <v>103303367.15</v>
      </c>
      <c r="F245" s="24">
        <f>SUBTOTAL(109,F244:F244)</f>
        <v>97737800</v>
      </c>
      <c r="G245" s="24">
        <f>SUBTOTAL(109,G244:G244)</f>
        <v>0</v>
      </c>
      <c r="H245" s="24">
        <f>SUBTOTAL(109,H244:H244)</f>
        <v>97737800</v>
      </c>
      <c r="I245" s="1">
        <f t="shared" si="6"/>
        <v>-5565567.150000006</v>
      </c>
    </row>
    <row r="246" spans="1:9" ht="15.75">
      <c r="A246" s="11" t="s">
        <v>130</v>
      </c>
      <c r="B246" s="37">
        <v>60100</v>
      </c>
      <c r="C246" s="14" t="s">
        <v>7</v>
      </c>
      <c r="D246" s="17">
        <f>'prévision 2017'!G1135+'prévision 2017'!G1146+'prévision 2017'!G1154+'prévision 2017'!G1168+'prévision 2017'!G1180+'prévision 2017'!G1193+'prévision 2017'!G1203+'prévision 2017'!G1225</f>
        <v>4436000</v>
      </c>
      <c r="E246" s="17">
        <f>'prévision 2017'!H1135+'prévision 2017'!H1146+'prévision 2017'!H1154+'prévision 2017'!H1168+'prévision 2017'!H1180+'prévision 2017'!H1193+'prévision 2017'!H1203+'prévision 2017'!H1225</f>
        <v>847700</v>
      </c>
      <c r="F246" s="17">
        <f>'prévision 2017'!I1135+'prévision 2017'!I1146+'prévision 2017'!I1154+'prévision 2017'!I1168+'prévision 2017'!I1180+'prévision 2017'!I1193+'prévision 2017'!I1203+'prévision 2017'!I1225</f>
        <v>4436000</v>
      </c>
      <c r="G246" s="17">
        <f>'prévision 2017'!J1135+'prévision 2017'!J1146+'prévision 2017'!J1154+'prévision 2017'!J1168+'prévision 2017'!J1180+'prévision 2017'!J1193+'prévision 2017'!J1203+'prévision 2017'!J1225</f>
        <v>0</v>
      </c>
      <c r="H246" s="46">
        <f t="shared" si="7"/>
        <v>4436000</v>
      </c>
      <c r="I246" s="1">
        <f t="shared" si="6"/>
        <v>3588300</v>
      </c>
    </row>
    <row r="247" spans="1:9" ht="15.75">
      <c r="A247" s="11" t="s">
        <v>130</v>
      </c>
      <c r="B247" s="35">
        <v>60100</v>
      </c>
      <c r="C247" s="14" t="s">
        <v>265</v>
      </c>
      <c r="D247" s="17">
        <f>'prévision 2017'!G1136+'prévision 2017'!G1147+'prévision 2017'!G1155+'prévision 2017'!G1169+'prévision 2017'!G1181+'prévision 2017'!G1194</f>
        <v>1410000</v>
      </c>
      <c r="E247" s="17">
        <f>'prévision 2017'!H1136+'prévision 2017'!H1147+'prévision 2017'!H1155+'prévision 2017'!H1169+'prévision 2017'!H1181+'prévision 2017'!H1194</f>
        <v>234000</v>
      </c>
      <c r="F247" s="17">
        <f>'prévision 2017'!I1136+'prévision 2017'!I1147+'prévision 2017'!I1155+'prévision 2017'!I1169+'prévision 2017'!I1181+'prévision 2017'!I1194</f>
        <v>1410000</v>
      </c>
      <c r="G247" s="17">
        <f>'prévision 2017'!J1136+'prévision 2017'!J1147+'prévision 2017'!J1155+'prévision 2017'!J1169+'prévision 2017'!J1181+'prévision 2017'!J1194</f>
        <v>0</v>
      </c>
      <c r="H247" s="46">
        <f t="shared" si="7"/>
        <v>1410000</v>
      </c>
      <c r="I247" s="1">
        <f t="shared" si="6"/>
        <v>1176000</v>
      </c>
    </row>
    <row r="248" spans="1:9" ht="15.75">
      <c r="A248" s="11" t="s">
        <v>130</v>
      </c>
      <c r="B248" s="188">
        <v>6122</v>
      </c>
      <c r="C248" s="14" t="s">
        <v>582</v>
      </c>
      <c r="D248" s="17">
        <f>'prévision 2017'!G1137+'prévision 2017'!G1148+'prévision 2017'!G1156+'prévision 2017'!G1170+'prévision 2017'!G1182+'prévision 2017'!G1195+'prévision 2017'!G1205+'prévision 2017'!G1227</f>
        <v>2692750</v>
      </c>
      <c r="E248" s="17">
        <f>'prévision 2017'!H1137+'prévision 2017'!H1148+'prévision 2017'!H1156+'prévision 2017'!H1170+'prévision 2017'!H1182+'prévision 2017'!H1195+'prévision 2017'!H1205+'prévision 2017'!H1227</f>
        <v>100000</v>
      </c>
      <c r="F248" s="17">
        <f>'prévision 2017'!I1137+'prévision 2017'!I1148+'prévision 2017'!I1156+'prévision 2017'!I1170+'prévision 2017'!I1182+'prévision 2017'!I1195+'prévision 2017'!I1205+'prévision 2017'!I1227</f>
        <v>2692750</v>
      </c>
      <c r="G248" s="17">
        <f>'prévision 2017'!J1137+'prévision 2017'!J1148+'prévision 2017'!J1156+'prévision 2017'!J1170+'prévision 2017'!J1182+'prévision 2017'!J1195+'prévision 2017'!J1205+'prévision 2017'!J1227</f>
        <v>0</v>
      </c>
      <c r="H248" s="46">
        <f t="shared" si="7"/>
        <v>2692750</v>
      </c>
      <c r="I248" s="1">
        <f t="shared" si="6"/>
        <v>2592750</v>
      </c>
    </row>
    <row r="249" spans="1:9" ht="15.75">
      <c r="A249" s="11" t="s">
        <v>130</v>
      </c>
      <c r="B249" s="39">
        <v>6133</v>
      </c>
      <c r="C249" s="14" t="s">
        <v>304</v>
      </c>
      <c r="D249" s="17">
        <f>'prévision 2017'!G1138+'prévision 2017'!G1158+'prévision 2017'!G1171+'prévision 2017'!G1183+'prévision 2017'!G1196+'prévision 2017'!G1206</f>
        <v>6875000</v>
      </c>
      <c r="E249" s="17">
        <f>'prévision 2017'!H1138+'prévision 2017'!H1158+'prévision 2017'!H1171+'prévision 2017'!H1183+'prévision 2017'!H1196+'prévision 2017'!H1206</f>
        <v>0</v>
      </c>
      <c r="F249" s="17">
        <f>'prévision 2017'!I1138+'prévision 2017'!I1158+'prévision 2017'!I1171+'prévision 2017'!I1183+'prévision 2017'!I1196+'prévision 2017'!I1206</f>
        <v>6875000</v>
      </c>
      <c r="G249" s="17">
        <f>'prévision 2017'!J1138+'prévision 2017'!J1158+'prévision 2017'!J1171+'prévision 2017'!J1183+'prévision 2017'!J1196+'prévision 2017'!J1206</f>
        <v>0</v>
      </c>
      <c r="H249" s="46">
        <f t="shared" si="7"/>
        <v>6875000</v>
      </c>
      <c r="I249" s="1">
        <f t="shared" si="6"/>
        <v>6875000</v>
      </c>
    </row>
    <row r="250" spans="1:9" ht="15.75">
      <c r="A250" s="11" t="s">
        <v>130</v>
      </c>
      <c r="B250" s="39">
        <v>6052</v>
      </c>
      <c r="C250" s="14" t="s">
        <v>598</v>
      </c>
      <c r="D250" s="17">
        <f>'prévision 2017'!G1140+'prévision 2017'!G1160</f>
        <v>810000</v>
      </c>
      <c r="E250" s="17">
        <f>'prévision 2017'!H1140+'prévision 2017'!H1160</f>
        <v>0</v>
      </c>
      <c r="F250" s="17">
        <f>'prévision 2017'!I1140+'prévision 2017'!I1160</f>
        <v>810000</v>
      </c>
      <c r="G250" s="17">
        <f>'prévision 2017'!J1140+'prévision 2017'!J1160</f>
        <v>0</v>
      </c>
      <c r="H250" s="46">
        <f t="shared" si="7"/>
        <v>810000</v>
      </c>
      <c r="I250" s="1">
        <f t="shared" si="6"/>
        <v>810000</v>
      </c>
    </row>
    <row r="251" spans="1:9" ht="15.75">
      <c r="A251" s="11" t="s">
        <v>130</v>
      </c>
      <c r="B251" s="40">
        <v>6173</v>
      </c>
      <c r="C251" s="14" t="s">
        <v>19</v>
      </c>
      <c r="D251" s="17">
        <f>'prévision 2017'!G1210</f>
        <v>16754325</v>
      </c>
      <c r="E251" s="17">
        <f>'prévision 2017'!H1210</f>
        <v>4188581</v>
      </c>
      <c r="F251" s="17">
        <f>'prévision 2017'!I1210</f>
        <v>16754325</v>
      </c>
      <c r="G251" s="17">
        <f>'prévision 2017'!J1210</f>
        <v>0</v>
      </c>
      <c r="H251" s="46">
        <f t="shared" si="7"/>
        <v>16754325</v>
      </c>
      <c r="I251" s="1">
        <f t="shared" si="6"/>
        <v>12565744</v>
      </c>
    </row>
    <row r="252" spans="1:9" ht="15.75">
      <c r="A252" s="11" t="s">
        <v>130</v>
      </c>
      <c r="B252" s="192">
        <v>6175</v>
      </c>
      <c r="C252" s="14" t="s">
        <v>13</v>
      </c>
      <c r="D252" s="17">
        <f>'prévision 2017'!G1141+'prévision 2017'!G1149+'prévision 2017'!G1162+'prévision 2017'!G1209</f>
        <v>900000</v>
      </c>
      <c r="E252" s="17">
        <f>'prévision 2017'!H1141+'prévision 2017'!H1149+'prévision 2017'!H1162+'prévision 2017'!H1209</f>
        <v>545000</v>
      </c>
      <c r="F252" s="17">
        <f>'prévision 2017'!I1141+'prévision 2017'!I1149+'prévision 2017'!I1162+'prévision 2017'!I1209</f>
        <v>900000</v>
      </c>
      <c r="G252" s="17">
        <f>'prévision 2017'!J1141+'prévision 2017'!J1149+'prévision 2017'!J1162+'prévision 2017'!J1209</f>
        <v>0</v>
      </c>
      <c r="H252" s="46">
        <f t="shared" si="7"/>
        <v>900000</v>
      </c>
      <c r="I252" s="1">
        <f t="shared" si="6"/>
        <v>355000</v>
      </c>
    </row>
    <row r="253" spans="1:9" ht="15.75">
      <c r="A253" s="11" t="s">
        <v>130</v>
      </c>
      <c r="B253" s="15" t="s">
        <v>191</v>
      </c>
      <c r="C253" s="14"/>
      <c r="D253" s="24">
        <f>SUBTOTAL(109,D246:D252)</f>
        <v>33878075</v>
      </c>
      <c r="E253" s="24">
        <f>SUBTOTAL(109,E246:E252)</f>
        <v>5915281</v>
      </c>
      <c r="F253" s="24">
        <f>SUBTOTAL(109,F246:F252)</f>
        <v>33878075</v>
      </c>
      <c r="G253" s="24">
        <f>SUBTOTAL(109,G246:G252)</f>
        <v>0</v>
      </c>
      <c r="H253" s="24">
        <f>SUBTOTAL(109,H246:H252)</f>
        <v>33878075</v>
      </c>
      <c r="I253" s="1">
        <f t="shared" si="6"/>
        <v>27962794</v>
      </c>
    </row>
    <row r="254" spans="1:9" ht="15.75">
      <c r="A254" s="11" t="s">
        <v>130</v>
      </c>
      <c r="B254" s="192">
        <v>6311</v>
      </c>
      <c r="C254" s="14" t="s">
        <v>528</v>
      </c>
      <c r="D254" s="17">
        <f>'prévision 2017'!G1187+'prévision 2017'!G1211+'prévision 2017'!G1215+'prévision 2017'!G1221</f>
        <v>38600000</v>
      </c>
      <c r="E254" s="17">
        <f>'prévision 2017'!H1187+'prévision 2017'!H1211+'prévision 2017'!H1215+'prévision 2017'!H1221</f>
        <v>27300000</v>
      </c>
      <c r="F254" s="17">
        <f>'prévision 2017'!I1187+'prévision 2017'!I1211+'prévision 2017'!I1215+'prévision 2017'!I1221</f>
        <v>38600000</v>
      </c>
      <c r="G254" s="17">
        <f>'prévision 2017'!J1187+'prévision 2017'!J1211+'prévision 2017'!J1215+'prévision 2017'!J1221</f>
        <v>0</v>
      </c>
      <c r="H254" s="46">
        <f t="shared" si="7"/>
        <v>38600000</v>
      </c>
      <c r="I254" s="1">
        <f t="shared" si="6"/>
        <v>11300000</v>
      </c>
    </row>
    <row r="255" spans="1:9" ht="15.75">
      <c r="A255" s="11" t="s">
        <v>130</v>
      </c>
      <c r="B255" s="226" t="s">
        <v>193</v>
      </c>
      <c r="C255" s="14"/>
      <c r="D255" s="24">
        <f>SUM(D254)</f>
        <v>38600000</v>
      </c>
      <c r="E255" s="24">
        <f>SUM(E254)</f>
        <v>27300000</v>
      </c>
      <c r="F255" s="24">
        <f>SUM(F254)</f>
        <v>38600000</v>
      </c>
      <c r="G255" s="24">
        <f>SUM(G254)</f>
        <v>0</v>
      </c>
      <c r="H255" s="24">
        <f>SUM(H254)</f>
        <v>38600000</v>
      </c>
      <c r="I255" s="1">
        <f t="shared" si="6"/>
        <v>11300000</v>
      </c>
    </row>
    <row r="256" spans="1:9" ht="15.75">
      <c r="A256" s="11" t="s">
        <v>130</v>
      </c>
      <c r="B256" s="187">
        <v>2115</v>
      </c>
      <c r="C256" s="14" t="s">
        <v>570</v>
      </c>
      <c r="D256" s="17">
        <f>'prévision 2017'!G1217</f>
        <v>3000000000</v>
      </c>
      <c r="E256" s="17">
        <f>'prévision 2017'!H1217</f>
        <v>0</v>
      </c>
      <c r="F256" s="17">
        <f>'prévision 2017'!I1217</f>
        <v>0</v>
      </c>
      <c r="G256" s="17">
        <f>'prévision 2017'!J1217</f>
        <v>0</v>
      </c>
      <c r="H256" s="46">
        <f t="shared" si="7"/>
        <v>0</v>
      </c>
      <c r="I256" s="1">
        <f t="shared" si="6"/>
        <v>0</v>
      </c>
    </row>
    <row r="257" spans="1:9" ht="15.75">
      <c r="A257" s="11" t="s">
        <v>130</v>
      </c>
      <c r="B257" s="192">
        <v>2121</v>
      </c>
      <c r="C257" s="14" t="s">
        <v>605</v>
      </c>
      <c r="D257" s="17"/>
      <c r="E257" s="17"/>
      <c r="F257" s="17">
        <f>'prévision 2017'!I1228</f>
        <v>0</v>
      </c>
      <c r="G257" s="17">
        <f>'prévision 2017'!J1228</f>
        <v>0</v>
      </c>
      <c r="H257" s="46">
        <f t="shared" si="7"/>
        <v>0</v>
      </c>
      <c r="I257" s="1">
        <f t="shared" si="6"/>
        <v>0</v>
      </c>
    </row>
    <row r="258" spans="1:9" ht="15.75">
      <c r="A258" s="11" t="s">
        <v>130</v>
      </c>
      <c r="B258" s="227" t="s">
        <v>194</v>
      </c>
      <c r="C258" s="14"/>
      <c r="D258" s="24">
        <f>SUBTOTAL(109,D256:D257)</f>
        <v>3000000000</v>
      </c>
      <c r="E258" s="24">
        <f>SUBTOTAL(109,E256:E257)</f>
        <v>0</v>
      </c>
      <c r="F258" s="24">
        <f>SUBTOTAL(109,F256:F257)</f>
        <v>0</v>
      </c>
      <c r="G258" s="24">
        <f>SUBTOTAL(109,G256:G257)</f>
        <v>0</v>
      </c>
      <c r="H258" s="46">
        <f>F258+G258</f>
        <v>0</v>
      </c>
      <c r="I258" s="1">
        <f t="shared" si="6"/>
        <v>0</v>
      </c>
    </row>
    <row r="259" spans="1:9" ht="15.75">
      <c r="A259" s="11" t="s">
        <v>130</v>
      </c>
      <c r="B259" s="19" t="s">
        <v>72</v>
      </c>
      <c r="C259" s="14"/>
      <c r="D259" s="24">
        <f>D253+D245+D255+D258</f>
        <v>3170215875</v>
      </c>
      <c r="E259" s="24">
        <f>E253+E245+E255+E258</f>
        <v>136518648.15</v>
      </c>
      <c r="F259" s="24">
        <f>F253+F245+F255+F258</f>
        <v>170215875</v>
      </c>
      <c r="G259" s="24">
        <f>G253+G245+G255+G258</f>
        <v>0</v>
      </c>
      <c r="H259" s="24">
        <f>H253+H245+H255+H258</f>
        <v>170215875</v>
      </c>
      <c r="I259" s="1">
        <f t="shared" si="6"/>
        <v>33697226.849999994</v>
      </c>
    </row>
    <row r="260" spans="1:9" ht="15.75">
      <c r="A260" s="30" t="s">
        <v>260</v>
      </c>
      <c r="B260" s="55" t="s">
        <v>165</v>
      </c>
      <c r="C260" s="14"/>
      <c r="D260" s="17"/>
      <c r="E260" s="17"/>
      <c r="F260" s="17"/>
      <c r="H260" s="46"/>
      <c r="I260" s="1">
        <f t="shared" si="6"/>
        <v>0</v>
      </c>
    </row>
    <row r="261" spans="1:9" ht="15.75">
      <c r="A261" s="45" t="s">
        <v>260</v>
      </c>
      <c r="B261" s="35">
        <v>6611</v>
      </c>
      <c r="C261" s="14" t="s">
        <v>6</v>
      </c>
      <c r="D261" s="17">
        <f>'prévision 2017'!G1233</f>
        <v>0</v>
      </c>
      <c r="E261" s="17">
        <f>'prévision 2017'!H1233</f>
        <v>0</v>
      </c>
      <c r="F261" s="17">
        <f>'prévision 2017'!I1233</f>
        <v>0</v>
      </c>
      <c r="H261" s="46">
        <f t="shared" si="7"/>
        <v>0</v>
      </c>
      <c r="I261" s="1">
        <f t="shared" si="6"/>
        <v>0</v>
      </c>
    </row>
    <row r="262" spans="1:9" ht="15.75">
      <c r="A262" s="45" t="s">
        <v>260</v>
      </c>
      <c r="B262" s="15" t="s">
        <v>192</v>
      </c>
      <c r="C262" s="14"/>
      <c r="D262" s="17">
        <f>SUBTOTAL(109,D261:D261)</f>
        <v>0</v>
      </c>
      <c r="E262" s="17">
        <f>SUBTOTAL(109,E261:E261)</f>
        <v>0</v>
      </c>
      <c r="F262" s="17">
        <f>SUBTOTAL(109,F261:F261)</f>
        <v>0</v>
      </c>
      <c r="G262" s="17">
        <f>SUBTOTAL(109,G261:G261)</f>
        <v>0</v>
      </c>
      <c r="H262" s="46">
        <f t="shared" si="7"/>
        <v>0</v>
      </c>
      <c r="I262" s="1">
        <f t="shared" si="6"/>
        <v>0</v>
      </c>
    </row>
    <row r="263" spans="1:9" ht="15.75">
      <c r="A263" s="45" t="s">
        <v>260</v>
      </c>
      <c r="B263" s="39">
        <v>60100</v>
      </c>
      <c r="C263" s="14" t="s">
        <v>7</v>
      </c>
      <c r="D263" s="17">
        <f>'prévision 2017'!G1234</f>
        <v>0</v>
      </c>
      <c r="E263" s="17">
        <f>'prévision 2017'!H1234</f>
        <v>0</v>
      </c>
      <c r="F263" s="17">
        <f>'prévision 2017'!I1234</f>
        <v>0</v>
      </c>
      <c r="G263" s="17">
        <f>'prévision 2017'!J1234</f>
        <v>0</v>
      </c>
      <c r="H263" s="46">
        <f t="shared" si="7"/>
        <v>0</v>
      </c>
      <c r="I263" s="1">
        <f aca="true" t="shared" si="8" ref="I263:I316">H263-E263</f>
        <v>0</v>
      </c>
    </row>
    <row r="264" spans="1:9" ht="15.75">
      <c r="A264" s="45" t="s">
        <v>260</v>
      </c>
      <c r="B264" s="185">
        <v>6122</v>
      </c>
      <c r="C264" s="14" t="s">
        <v>582</v>
      </c>
      <c r="D264" s="17">
        <f>'prévision 2017'!G1235</f>
        <v>0</v>
      </c>
      <c r="E264" s="17">
        <f>'prévision 2017'!H1235</f>
        <v>0</v>
      </c>
      <c r="F264" s="17">
        <f>'prévision 2017'!I1235</f>
        <v>0</v>
      </c>
      <c r="G264" s="17">
        <f>'prévision 2017'!J1235</f>
        <v>0</v>
      </c>
      <c r="H264" s="46">
        <f t="shared" si="7"/>
        <v>0</v>
      </c>
      <c r="I264" s="1">
        <f t="shared" si="8"/>
        <v>0</v>
      </c>
    </row>
    <row r="265" spans="1:9" ht="15.75">
      <c r="A265" s="45" t="s">
        <v>260</v>
      </c>
      <c r="B265" s="40">
        <v>6111</v>
      </c>
      <c r="C265" s="14" t="s">
        <v>12</v>
      </c>
      <c r="D265" s="17">
        <f>'prévision 2017'!G1236</f>
        <v>0</v>
      </c>
      <c r="E265" s="17">
        <f>'prévision 2017'!H1236</f>
        <v>0</v>
      </c>
      <c r="F265" s="17">
        <f>'prévision 2017'!I1236</f>
        <v>0</v>
      </c>
      <c r="G265" s="17">
        <f>'prévision 2017'!J1236</f>
        <v>0</v>
      </c>
      <c r="H265" s="46">
        <f aca="true" t="shared" si="9" ref="H265:H315">F265+G265</f>
        <v>0</v>
      </c>
      <c r="I265" s="1">
        <f t="shared" si="8"/>
        <v>0</v>
      </c>
    </row>
    <row r="266" spans="1:9" ht="15.75">
      <c r="A266" s="45" t="s">
        <v>260</v>
      </c>
      <c r="B266" s="39">
        <v>6175</v>
      </c>
      <c r="C266" s="14" t="s">
        <v>13</v>
      </c>
      <c r="D266" s="17">
        <f>'prévision 2017'!G1237</f>
        <v>0</v>
      </c>
      <c r="E266" s="17">
        <f>'prévision 2017'!H1237</f>
        <v>0</v>
      </c>
      <c r="F266" s="17">
        <f>'prévision 2017'!I1237</f>
        <v>0</v>
      </c>
      <c r="G266" s="17">
        <f>'prévision 2017'!J1237</f>
        <v>0</v>
      </c>
      <c r="H266" s="46">
        <f t="shared" si="9"/>
        <v>0</v>
      </c>
      <c r="I266" s="1">
        <f t="shared" si="8"/>
        <v>0</v>
      </c>
    </row>
    <row r="267" spans="1:9" ht="15.75">
      <c r="A267" s="45" t="s">
        <v>260</v>
      </c>
      <c r="B267" s="22" t="s">
        <v>191</v>
      </c>
      <c r="C267" s="14"/>
      <c r="D267" s="17">
        <f>'prévision 2017'!G1238</f>
        <v>0</v>
      </c>
      <c r="E267" s="17">
        <f>'prévision 2017'!H1238</f>
        <v>0</v>
      </c>
      <c r="F267" s="17">
        <f>'prévision 2017'!I1238</f>
        <v>0</v>
      </c>
      <c r="G267" s="17">
        <f>'prévision 2017'!J1238</f>
        <v>0</v>
      </c>
      <c r="H267" s="46">
        <f t="shared" si="9"/>
        <v>0</v>
      </c>
      <c r="I267" s="1">
        <f t="shared" si="8"/>
        <v>0</v>
      </c>
    </row>
    <row r="268" spans="1:9" ht="15.75">
      <c r="A268" s="45" t="s">
        <v>260</v>
      </c>
      <c r="B268" s="15" t="s">
        <v>72</v>
      </c>
      <c r="C268" s="14"/>
      <c r="D268" s="17">
        <f>'prévision 2017'!G1239</f>
        <v>0</v>
      </c>
      <c r="E268" s="17">
        <f>'prévision 2017'!H1239</f>
        <v>0</v>
      </c>
      <c r="F268" s="17">
        <f>'prévision 2017'!I1239</f>
        <v>0</v>
      </c>
      <c r="G268" s="17">
        <f>'prévision 2017'!J1239</f>
        <v>0</v>
      </c>
      <c r="H268" s="46">
        <f t="shared" si="9"/>
        <v>0</v>
      </c>
      <c r="I268" s="1">
        <f t="shared" si="8"/>
        <v>0</v>
      </c>
    </row>
    <row r="269" spans="1:9" ht="15.75">
      <c r="A269" s="11" t="s">
        <v>167</v>
      </c>
      <c r="B269" s="32" t="s">
        <v>168</v>
      </c>
      <c r="C269" s="14"/>
      <c r="D269" s="17"/>
      <c r="E269" s="17"/>
      <c r="F269" s="17"/>
      <c r="H269" s="46"/>
      <c r="I269" s="1">
        <f t="shared" si="8"/>
        <v>0</v>
      </c>
    </row>
    <row r="270" spans="1:9" ht="15.75">
      <c r="A270" s="30" t="s">
        <v>167</v>
      </c>
      <c r="B270" s="38" t="s">
        <v>606</v>
      </c>
      <c r="C270" s="14" t="s">
        <v>6</v>
      </c>
      <c r="D270" s="17">
        <f>'prévision 2017'!G1242</f>
        <v>15302954</v>
      </c>
      <c r="E270" s="17">
        <f>'prévision 2017'!H1242</f>
        <v>150799757</v>
      </c>
      <c r="F270" s="17">
        <f>'prévision 2017'!I1242</f>
        <v>15302954</v>
      </c>
      <c r="G270" s="17">
        <f>'prévision 2017'!J1242</f>
        <v>167568708</v>
      </c>
      <c r="H270" s="46">
        <f t="shared" si="9"/>
        <v>182871662</v>
      </c>
      <c r="I270" s="1">
        <f t="shared" si="8"/>
        <v>32071905</v>
      </c>
    </row>
    <row r="271" spans="1:9" ht="15.75">
      <c r="A271" s="11" t="s">
        <v>167</v>
      </c>
      <c r="B271" s="35" t="s">
        <v>684</v>
      </c>
      <c r="C271" s="14" t="s">
        <v>683</v>
      </c>
      <c r="D271" s="40"/>
      <c r="E271" s="14"/>
      <c r="F271" s="560">
        <f>'prévision 2017'!I1243</f>
        <v>0</v>
      </c>
      <c r="G271" s="47"/>
      <c r="H271" s="46">
        <f t="shared" si="9"/>
        <v>0</v>
      </c>
      <c r="I271" s="1">
        <f t="shared" si="8"/>
        <v>0</v>
      </c>
    </row>
    <row r="272" spans="1:9" ht="15.75">
      <c r="A272" s="45" t="s">
        <v>167</v>
      </c>
      <c r="B272" s="38" t="s">
        <v>607</v>
      </c>
      <c r="C272" s="14" t="s">
        <v>262</v>
      </c>
      <c r="D272" s="17">
        <f>'prévision 2017'!G1244</f>
        <v>171567020</v>
      </c>
      <c r="E272" s="17">
        <f>'prévision 2017'!H1244</f>
        <v>10092146</v>
      </c>
      <c r="F272" s="17">
        <f>'prévision 2017'!I1244</f>
        <v>165604618</v>
      </c>
      <c r="G272" s="17">
        <f>'prévision 2017'!J1244</f>
        <v>-152197066</v>
      </c>
      <c r="H272" s="46">
        <f t="shared" si="9"/>
        <v>13407552</v>
      </c>
      <c r="I272" s="1">
        <f t="shared" si="8"/>
        <v>3315406</v>
      </c>
    </row>
    <row r="273" spans="1:9" ht="15.75">
      <c r="A273" s="45" t="s">
        <v>167</v>
      </c>
      <c r="B273" s="38" t="s">
        <v>608</v>
      </c>
      <c r="C273" s="14" t="s">
        <v>327</v>
      </c>
      <c r="D273" s="17">
        <f>'prévision 2017'!G1245</f>
        <v>108099024</v>
      </c>
      <c r="E273" s="17">
        <f>'prévision 2017'!H1245</f>
        <v>26589350</v>
      </c>
      <c r="F273" s="17">
        <f>'prévision 2017'!I1245</f>
        <v>108099024</v>
      </c>
      <c r="G273" s="17">
        <f>'prévision 2017'!J1245</f>
        <v>-70371642</v>
      </c>
      <c r="H273" s="46">
        <f t="shared" si="9"/>
        <v>37727382</v>
      </c>
      <c r="I273" s="1">
        <f t="shared" si="8"/>
        <v>11138032</v>
      </c>
    </row>
    <row r="274" spans="1:9" ht="15.75">
      <c r="A274" s="11" t="s">
        <v>167</v>
      </c>
      <c r="B274" s="22" t="s">
        <v>192</v>
      </c>
      <c r="C274" s="14"/>
      <c r="D274" s="24">
        <f>SUBTOTAL(109,D270:D273)</f>
        <v>294968998</v>
      </c>
      <c r="E274" s="24">
        <f>SUBTOTAL(109,E270:E273)</f>
        <v>187481253</v>
      </c>
      <c r="F274" s="24">
        <f>SUBTOTAL(109,F270:F273)</f>
        <v>289006596</v>
      </c>
      <c r="G274" s="24">
        <f>SUBTOTAL(109,G270:G273)</f>
        <v>-55000000</v>
      </c>
      <c r="H274" s="24">
        <f>SUBTOTAL(109,H270:H273)</f>
        <v>234006596</v>
      </c>
      <c r="I274" s="1">
        <f t="shared" si="8"/>
        <v>46525343</v>
      </c>
    </row>
    <row r="275" spans="1:9" ht="15.75">
      <c r="A275" s="11" t="s">
        <v>167</v>
      </c>
      <c r="B275" s="52" t="s">
        <v>644</v>
      </c>
      <c r="C275" s="14" t="s">
        <v>174</v>
      </c>
      <c r="D275" s="17">
        <f>'prévision 2017'!G1256</f>
        <v>0</v>
      </c>
      <c r="E275" s="17">
        <f>'prévision 2017'!H1256</f>
        <v>0</v>
      </c>
      <c r="F275" s="17">
        <f>'prévision 2017'!I1256</f>
        <v>0</v>
      </c>
      <c r="G275" s="17">
        <f>'prévision 2017'!J1256</f>
        <v>0</v>
      </c>
      <c r="H275" s="46">
        <f t="shared" si="9"/>
        <v>0</v>
      </c>
      <c r="I275" s="1">
        <f t="shared" si="8"/>
        <v>0</v>
      </c>
    </row>
    <row r="276" spans="1:9" ht="15.75">
      <c r="A276" s="11" t="s">
        <v>167</v>
      </c>
      <c r="B276" s="51">
        <v>6041</v>
      </c>
      <c r="C276" s="14" t="s">
        <v>170</v>
      </c>
      <c r="D276" s="17">
        <f>'prévision 2017'!G1246</f>
        <v>500000000</v>
      </c>
      <c r="E276" s="17">
        <f>'prévision 2017'!H1246</f>
        <v>418505550</v>
      </c>
      <c r="F276" s="17">
        <f>'prévision 2017'!I1246</f>
        <v>500000000</v>
      </c>
      <c r="G276" s="17">
        <f>'prévision 2017'!J1246</f>
        <v>0</v>
      </c>
      <c r="H276" s="46">
        <f t="shared" si="9"/>
        <v>500000000</v>
      </c>
      <c r="I276" s="1">
        <f t="shared" si="8"/>
        <v>81494450</v>
      </c>
    </row>
    <row r="277" spans="1:9" ht="15.75">
      <c r="A277" s="30" t="s">
        <v>167</v>
      </c>
      <c r="B277" s="38" t="s">
        <v>609</v>
      </c>
      <c r="C277" s="14" t="s">
        <v>171</v>
      </c>
      <c r="D277" s="17">
        <f>'prévision 2017'!G1247</f>
        <v>234410000</v>
      </c>
      <c r="E277" s="17">
        <f>'prévision 2017'!H1247</f>
        <v>224109328</v>
      </c>
      <c r="F277" s="17">
        <f>'prévision 2017'!I1247</f>
        <v>234410000</v>
      </c>
      <c r="G277" s="17">
        <f>'prévision 2017'!J1247</f>
        <v>0</v>
      </c>
      <c r="H277" s="46">
        <f t="shared" si="9"/>
        <v>234410000</v>
      </c>
      <c r="I277" s="1">
        <f t="shared" si="8"/>
        <v>10300672</v>
      </c>
    </row>
    <row r="278" spans="1:9" ht="15.75">
      <c r="A278" s="11" t="s">
        <v>167</v>
      </c>
      <c r="B278" s="35">
        <v>6138</v>
      </c>
      <c r="C278" s="14" t="s">
        <v>177</v>
      </c>
      <c r="D278" s="17">
        <f>'prévision 2017'!G1265</f>
        <v>562000000</v>
      </c>
      <c r="E278" s="17">
        <f>'prévision 2017'!H1265</f>
        <v>848235826</v>
      </c>
      <c r="F278" s="17">
        <f>'prévision 2017'!I1265</f>
        <v>576646788</v>
      </c>
      <c r="G278" s="17">
        <f>'prévision 2017'!J1265</f>
        <v>400000000</v>
      </c>
      <c r="H278" s="46">
        <f t="shared" si="9"/>
        <v>976646788</v>
      </c>
      <c r="I278" s="1">
        <f t="shared" si="8"/>
        <v>128410962</v>
      </c>
    </row>
    <row r="279" spans="1:9" ht="15.75">
      <c r="A279" s="30" t="s">
        <v>167</v>
      </c>
      <c r="B279" s="228" t="s">
        <v>610</v>
      </c>
      <c r="C279" s="14" t="s">
        <v>601</v>
      </c>
      <c r="D279" s="17">
        <f>'prévision 2017'!G1248</f>
        <v>100000000</v>
      </c>
      <c r="E279" s="17">
        <f>'prévision 2017'!H1248</f>
        <v>0</v>
      </c>
      <c r="F279" s="17">
        <f>'prévision 2017'!I1248</f>
        <v>100000000</v>
      </c>
      <c r="G279" s="17">
        <f>'prévision 2017'!J1248</f>
        <v>-20000000</v>
      </c>
      <c r="H279" s="46">
        <f t="shared" si="9"/>
        <v>80000000</v>
      </c>
      <c r="I279" s="1">
        <f t="shared" si="8"/>
        <v>80000000</v>
      </c>
    </row>
    <row r="280" spans="1:9" ht="15.75">
      <c r="A280" s="198" t="s">
        <v>167</v>
      </c>
      <c r="B280" s="228" t="s">
        <v>611</v>
      </c>
      <c r="C280" s="14" t="s">
        <v>612</v>
      </c>
      <c r="D280" s="17">
        <f>'prévision 2017'!G1249</f>
        <v>300900000</v>
      </c>
      <c r="E280" s="17">
        <f>'prévision 2017'!H1249</f>
        <v>800000</v>
      </c>
      <c r="F280" s="17">
        <f>'prévision 2017'!I1249</f>
        <v>300900000</v>
      </c>
      <c r="G280" s="17">
        <f>'prévision 2017'!J1249</f>
        <v>0</v>
      </c>
      <c r="H280" s="46">
        <f t="shared" si="9"/>
        <v>300900000</v>
      </c>
      <c r="I280" s="1">
        <f t="shared" si="8"/>
        <v>300100000</v>
      </c>
    </row>
    <row r="281" spans="1:9" ht="15.75">
      <c r="A281" s="11" t="s">
        <v>167</v>
      </c>
      <c r="B281" s="52" t="s">
        <v>613</v>
      </c>
      <c r="C281" s="14" t="s">
        <v>256</v>
      </c>
      <c r="D281" s="17">
        <f>'prévision 2017'!G1250</f>
        <v>120000000</v>
      </c>
      <c r="E281" s="17">
        <f>'prévision 2017'!H1250</f>
        <v>6792901502</v>
      </c>
      <c r="F281" s="17">
        <f>'prévision 2017'!I1250</f>
        <v>1000000000</v>
      </c>
      <c r="G281" s="17">
        <f>'prévision 2017'!J1250</f>
        <v>5792901502</v>
      </c>
      <c r="H281" s="46">
        <f t="shared" si="9"/>
        <v>6792901502</v>
      </c>
      <c r="I281" s="1">
        <f t="shared" si="8"/>
        <v>0</v>
      </c>
    </row>
    <row r="282" spans="1:9" ht="15.75">
      <c r="A282" s="30" t="s">
        <v>167</v>
      </c>
      <c r="B282" s="38" t="s">
        <v>614</v>
      </c>
      <c r="C282" s="14" t="s">
        <v>277</v>
      </c>
      <c r="D282" s="17">
        <f>'prévision 2017'!G1251</f>
        <v>259924932.55999997</v>
      </c>
      <c r="E282" s="17">
        <f>'prévision 2017'!H1251</f>
        <v>247920462</v>
      </c>
      <c r="F282" s="17">
        <f>'prévision 2017'!I1251</f>
        <v>259924932.55999997</v>
      </c>
      <c r="G282" s="17">
        <f>'prévision 2017'!J1251</f>
        <v>0</v>
      </c>
      <c r="H282" s="46">
        <f t="shared" si="9"/>
        <v>259924932.55999997</v>
      </c>
      <c r="I282" s="1">
        <f t="shared" si="8"/>
        <v>12004470.559999973</v>
      </c>
    </row>
    <row r="283" spans="1:9" ht="15.75">
      <c r="A283" s="11" t="s">
        <v>167</v>
      </c>
      <c r="B283" s="52" t="s">
        <v>615</v>
      </c>
      <c r="C283" s="14" t="s">
        <v>11</v>
      </c>
      <c r="D283" s="17">
        <f>'prévision 2017'!G1252</f>
        <v>768000000</v>
      </c>
      <c r="E283" s="17">
        <f>'prévision 2017'!H1252</f>
        <v>1034742833</v>
      </c>
      <c r="F283" s="17">
        <f>'prévision 2017'!I1252</f>
        <v>1148227160</v>
      </c>
      <c r="G283" s="17">
        <f>'prévision 2017'!J1252</f>
        <v>0</v>
      </c>
      <c r="H283" s="46">
        <f t="shared" si="9"/>
        <v>1148227160</v>
      </c>
      <c r="I283" s="1">
        <f t="shared" si="8"/>
        <v>113484327</v>
      </c>
    </row>
    <row r="284" spans="1:9" ht="15.75">
      <c r="A284" s="30" t="s">
        <v>167</v>
      </c>
      <c r="B284" s="37">
        <v>6112</v>
      </c>
      <c r="C284" s="14" t="s">
        <v>172</v>
      </c>
      <c r="D284" s="17">
        <f>'prévision 2017'!G1253</f>
        <v>145474703.176</v>
      </c>
      <c r="E284" s="17">
        <f>'prévision 2017'!H1253</f>
        <v>177229187</v>
      </c>
      <c r="F284" s="17">
        <f>'prévision 2017'!I1253</f>
        <v>145474703.176</v>
      </c>
      <c r="G284" s="17">
        <f>'prévision 2017'!J1253</f>
        <v>35000000</v>
      </c>
      <c r="H284" s="46">
        <f t="shared" si="9"/>
        <v>180474703.176</v>
      </c>
      <c r="I284" s="1">
        <f t="shared" si="8"/>
        <v>3245516.175999999</v>
      </c>
    </row>
    <row r="285" spans="1:9" ht="15.75">
      <c r="A285" s="11" t="s">
        <v>167</v>
      </c>
      <c r="B285" s="52" t="s">
        <v>261</v>
      </c>
      <c r="C285" s="14" t="s">
        <v>173</v>
      </c>
      <c r="D285" s="17">
        <f>'prévision 2017'!G1254</f>
        <v>190417219</v>
      </c>
      <c r="E285" s="17">
        <f>'prévision 2017'!H1254</f>
        <v>89240000</v>
      </c>
      <c r="F285" s="17">
        <f>'prévision 2017'!I1254</f>
        <v>190417219</v>
      </c>
      <c r="G285" s="17">
        <f>'prévision 2017'!J1254</f>
        <v>0</v>
      </c>
      <c r="H285" s="46">
        <f t="shared" si="9"/>
        <v>190417219</v>
      </c>
      <c r="I285" s="1">
        <f t="shared" si="8"/>
        <v>101177219</v>
      </c>
    </row>
    <row r="286" spans="1:9" ht="15.75">
      <c r="A286" s="30" t="s">
        <v>167</v>
      </c>
      <c r="B286" s="53">
        <v>6173</v>
      </c>
      <c r="C286" s="14" t="s">
        <v>19</v>
      </c>
      <c r="D286" s="17">
        <f>'prévision 2017'!G1255</f>
        <v>31482720.159999996</v>
      </c>
      <c r="E286" s="17">
        <f>'prévision 2017'!H1255</f>
        <v>27935850</v>
      </c>
      <c r="F286" s="17">
        <f>'prévision 2017'!I1255</f>
        <v>31482720.159999996</v>
      </c>
      <c r="G286" s="17">
        <f>'prévision 2017'!J1255</f>
        <v>0</v>
      </c>
      <c r="H286" s="46">
        <f t="shared" si="9"/>
        <v>31482720.159999996</v>
      </c>
      <c r="I286" s="1">
        <f t="shared" si="8"/>
        <v>3546870.1599999964</v>
      </c>
    </row>
    <row r="287" spans="1:9" ht="15.75">
      <c r="A287" s="30" t="s">
        <v>167</v>
      </c>
      <c r="B287" s="38" t="s">
        <v>616</v>
      </c>
      <c r="C287" s="14" t="s">
        <v>13</v>
      </c>
      <c r="D287" s="17">
        <f>'prévision 2017'!G1257</f>
        <v>80000000</v>
      </c>
      <c r="E287" s="17">
        <f>'prévision 2017'!H1257</f>
        <v>45145600</v>
      </c>
      <c r="F287" s="17">
        <f>'prévision 2017'!I1257</f>
        <v>80000000</v>
      </c>
      <c r="G287" s="17">
        <f>'prévision 2017'!J1257</f>
        <v>-35000000</v>
      </c>
      <c r="H287" s="46">
        <f t="shared" si="9"/>
        <v>45000000</v>
      </c>
      <c r="I287" s="1">
        <f t="shared" si="8"/>
        <v>-145600</v>
      </c>
    </row>
    <row r="288" spans="1:9" ht="15.75">
      <c r="A288" s="11" t="s">
        <v>167</v>
      </c>
      <c r="B288" s="35">
        <v>6580</v>
      </c>
      <c r="C288" s="14" t="s">
        <v>175</v>
      </c>
      <c r="D288" s="17">
        <f>'prévision 2017'!G1262</f>
        <v>491346752</v>
      </c>
      <c r="E288" s="17">
        <f>'prévision 2017'!H1262</f>
        <v>455664316</v>
      </c>
      <c r="F288" s="17">
        <f>'prévision 2017'!I1262</f>
        <v>461346752</v>
      </c>
      <c r="G288" s="17">
        <f>'prévision 2017'!J1262</f>
        <v>0</v>
      </c>
      <c r="H288" s="46">
        <f t="shared" si="9"/>
        <v>461346752</v>
      </c>
      <c r="I288" s="1">
        <f t="shared" si="8"/>
        <v>5682436</v>
      </c>
    </row>
    <row r="289" spans="1:9" ht="15.75">
      <c r="A289" s="30" t="s">
        <v>167</v>
      </c>
      <c r="B289" s="15" t="s">
        <v>191</v>
      </c>
      <c r="C289" s="14"/>
      <c r="D289" s="24">
        <f>SUBTOTAL(109,D275:D288)</f>
        <v>3783956326.896</v>
      </c>
      <c r="E289" s="24">
        <f>SUBTOTAL(109,E275:E288)</f>
        <v>10362430454</v>
      </c>
      <c r="F289" s="24">
        <f>SUBTOTAL(109,F275:F288)</f>
        <v>5028830274.896</v>
      </c>
      <c r="G289" s="24">
        <f>SUBTOTAL(109,G275:G288)</f>
        <v>6172901502</v>
      </c>
      <c r="H289" s="24">
        <f>SUBTOTAL(109,H275:H288)</f>
        <v>11201731776.896</v>
      </c>
      <c r="I289" s="1">
        <f t="shared" si="8"/>
        <v>839301322.8959999</v>
      </c>
    </row>
    <row r="290" spans="1:9" ht="15.75">
      <c r="A290" s="11" t="s">
        <v>167</v>
      </c>
      <c r="B290" s="52">
        <v>6311</v>
      </c>
      <c r="C290" s="14" t="s">
        <v>280</v>
      </c>
      <c r="D290" s="17">
        <f>'prévision 2017'!G1258</f>
        <v>432388536</v>
      </c>
      <c r="E290" s="17">
        <f>'prévision 2017'!H1258</f>
        <v>2591883878</v>
      </c>
      <c r="F290" s="17">
        <f>'prévision 2017'!I1258</f>
        <v>432388536</v>
      </c>
      <c r="G290" s="17">
        <f>'prévision 2017'!J1258</f>
        <v>2131000000</v>
      </c>
      <c r="H290" s="46">
        <f t="shared" si="9"/>
        <v>2563388536</v>
      </c>
      <c r="I290" s="1">
        <f t="shared" si="8"/>
        <v>-28495342</v>
      </c>
    </row>
    <row r="291" spans="1:9" ht="15.75">
      <c r="A291" s="30" t="s">
        <v>167</v>
      </c>
      <c r="B291" s="38">
        <v>6433</v>
      </c>
      <c r="C291" s="14" t="s">
        <v>42</v>
      </c>
      <c r="D291" s="17">
        <f>'prévision 2017'!G1259</f>
        <v>100381767.161</v>
      </c>
      <c r="E291" s="17">
        <f>'prévision 2017'!H1259</f>
        <v>92037955</v>
      </c>
      <c r="F291" s="17">
        <f>'prévision 2017'!I1259</f>
        <v>100381767.161</v>
      </c>
      <c r="G291" s="17">
        <f>'prévision 2017'!J1259</f>
        <v>0</v>
      </c>
      <c r="H291" s="46">
        <f t="shared" si="9"/>
        <v>100381767.161</v>
      </c>
      <c r="I291" s="1">
        <f t="shared" si="8"/>
        <v>8343812.160999998</v>
      </c>
    </row>
    <row r="292" spans="1:9" ht="15.75">
      <c r="A292" s="11" t="s">
        <v>167</v>
      </c>
      <c r="B292" s="35">
        <v>6452</v>
      </c>
      <c r="C292" s="14" t="s">
        <v>182</v>
      </c>
      <c r="D292" s="17">
        <f>'prévision 2017'!G1274</f>
        <v>320000000</v>
      </c>
      <c r="E292" s="17">
        <f>'prévision 2017'!H1274</f>
        <v>115142571</v>
      </c>
      <c r="F292" s="17">
        <f>'prévision 2017'!I1274</f>
        <v>290000000</v>
      </c>
      <c r="G292" s="17">
        <f>'prévision 2017'!J1274</f>
        <v>0</v>
      </c>
      <c r="H292" s="46">
        <f t="shared" si="9"/>
        <v>290000000</v>
      </c>
      <c r="I292" s="1">
        <f t="shared" si="8"/>
        <v>174857429</v>
      </c>
    </row>
    <row r="293" spans="1:9" ht="15.75">
      <c r="A293" s="30" t="s">
        <v>167</v>
      </c>
      <c r="B293" s="15" t="s">
        <v>193</v>
      </c>
      <c r="C293" s="14"/>
      <c r="D293" s="24">
        <f>SUBTOTAL(109,D290:D292)</f>
        <v>852770303.161</v>
      </c>
      <c r="E293" s="24">
        <f>SUBTOTAL(109,E290:E292)</f>
        <v>2799064404</v>
      </c>
      <c r="F293" s="24">
        <f>SUBTOTAL(109,F290:F292)</f>
        <v>822770303.161</v>
      </c>
      <c r="G293" s="24">
        <f>SUBTOTAL(109,G290:G292)</f>
        <v>2131000000</v>
      </c>
      <c r="H293" s="24">
        <f>SUBTOTAL(109,H290:H292)</f>
        <v>2953770303.161</v>
      </c>
      <c r="I293" s="1">
        <f t="shared" si="8"/>
        <v>154705899.16099977</v>
      </c>
    </row>
    <row r="294" spans="1:9" ht="15.75">
      <c r="A294" s="11" t="s">
        <v>167</v>
      </c>
      <c r="B294" s="35">
        <v>1711</v>
      </c>
      <c r="C294" s="14" t="s">
        <v>179</v>
      </c>
      <c r="D294" s="17">
        <f>'prévision 2017'!G1269</f>
        <v>442833369.2</v>
      </c>
      <c r="E294" s="17">
        <f>'prévision 2017'!H1269</f>
        <v>316295617</v>
      </c>
      <c r="F294" s="17">
        <f>'prévision 2017'!I1269</f>
        <v>442833369.2</v>
      </c>
      <c r="G294" s="17">
        <f>'prévision 2017'!J1269</f>
        <v>-116534855</v>
      </c>
      <c r="H294" s="46">
        <f t="shared" si="9"/>
        <v>326298514.2</v>
      </c>
      <c r="I294" s="1">
        <f t="shared" si="8"/>
        <v>10002897.199999988</v>
      </c>
    </row>
    <row r="295" spans="1:9" ht="15.75">
      <c r="A295" s="30" t="s">
        <v>167</v>
      </c>
      <c r="B295" s="37">
        <v>1712</v>
      </c>
      <c r="C295" s="14" t="s">
        <v>180</v>
      </c>
      <c r="D295" s="17">
        <f>'prévision 2017'!G1270</f>
        <v>198243257.9</v>
      </c>
      <c r="E295" s="17">
        <f>'prévision 2017'!H1270</f>
        <v>102874320</v>
      </c>
      <c r="F295" s="17">
        <f>'prévision 2017'!I1270</f>
        <v>198243257.9</v>
      </c>
      <c r="G295" s="17">
        <f>'prévision 2017'!J1270</f>
        <v>-90368753</v>
      </c>
      <c r="H295" s="46">
        <f t="shared" si="9"/>
        <v>107874504.9</v>
      </c>
      <c r="I295" s="1">
        <f t="shared" si="8"/>
        <v>5000184.900000006</v>
      </c>
    </row>
    <row r="296" spans="1:9" ht="15.75">
      <c r="A296" s="11" t="s">
        <v>167</v>
      </c>
      <c r="B296" s="35">
        <v>1761</v>
      </c>
      <c r="C296" s="14" t="s">
        <v>181</v>
      </c>
      <c r="D296" s="17">
        <f>'prévision 2017'!G1271</f>
        <v>0</v>
      </c>
      <c r="E296" s="17">
        <f>'prévision 2017'!H1271</f>
        <v>0</v>
      </c>
      <c r="F296" s="17">
        <f>'prévision 2017'!I1271</f>
        <v>0</v>
      </c>
      <c r="G296" s="17">
        <f>'prévision 2017'!J1271</f>
        <v>0</v>
      </c>
      <c r="H296" s="46">
        <f t="shared" si="9"/>
        <v>0</v>
      </c>
      <c r="I296" s="1">
        <f t="shared" si="8"/>
        <v>0</v>
      </c>
    </row>
    <row r="297" spans="1:9" ht="15.75">
      <c r="A297" s="11" t="s">
        <v>167</v>
      </c>
      <c r="B297" s="37">
        <v>1762</v>
      </c>
      <c r="C297" s="14" t="s">
        <v>248</v>
      </c>
      <c r="D297" s="17">
        <f>'prévision 2017'!G1272</f>
        <v>0</v>
      </c>
      <c r="E297" s="17">
        <f>'prévision 2017'!H1272</f>
        <v>0</v>
      </c>
      <c r="F297" s="17">
        <f>'prévision 2017'!I1272</f>
        <v>0</v>
      </c>
      <c r="G297" s="17">
        <f>'prévision 2017'!J1272</f>
        <v>0</v>
      </c>
      <c r="H297" s="46">
        <f t="shared" si="9"/>
        <v>0</v>
      </c>
      <c r="I297" s="1">
        <f t="shared" si="8"/>
        <v>0</v>
      </c>
    </row>
    <row r="298" spans="1:9" ht="15.75">
      <c r="A298" s="11" t="s">
        <v>167</v>
      </c>
      <c r="B298" s="37">
        <v>1763</v>
      </c>
      <c r="C298" s="14" t="s">
        <v>249</v>
      </c>
      <c r="D298" s="17">
        <f>'prévision 2017'!G1268</f>
        <v>0</v>
      </c>
      <c r="E298" s="17">
        <f>'prévision 2017'!H1268</f>
        <v>0</v>
      </c>
      <c r="F298" s="17">
        <f>'prévision 2017'!I1268</f>
        <v>0</v>
      </c>
      <c r="G298" s="17">
        <f>'prévision 2017'!J1268</f>
        <v>0</v>
      </c>
      <c r="H298" s="46">
        <f t="shared" si="9"/>
        <v>0</v>
      </c>
      <c r="I298" s="1">
        <f t="shared" si="8"/>
        <v>0</v>
      </c>
    </row>
    <row r="299" spans="1:9" ht="15.75">
      <c r="A299" s="215" t="s">
        <v>167</v>
      </c>
      <c r="B299" s="229">
        <v>1861</v>
      </c>
      <c r="C299" s="14" t="s">
        <v>647</v>
      </c>
      <c r="D299" s="17">
        <f>'prévision 2017'!G1273</f>
        <v>500000000</v>
      </c>
      <c r="E299" s="17">
        <f>'prévision 2017'!H1273</f>
        <v>0</v>
      </c>
      <c r="F299" s="17">
        <f>'prévision 2017'!I1273</f>
        <v>500000000</v>
      </c>
      <c r="G299" s="17">
        <f>'prévision 2017'!J1273</f>
        <v>0</v>
      </c>
      <c r="H299" s="46">
        <f t="shared" si="9"/>
        <v>500000000</v>
      </c>
      <c r="I299" s="1">
        <f t="shared" si="8"/>
        <v>500000000</v>
      </c>
    </row>
    <row r="300" spans="1:9" ht="15.75">
      <c r="A300" s="30" t="s">
        <v>167</v>
      </c>
      <c r="B300" s="37">
        <v>6711</v>
      </c>
      <c r="C300" s="14" t="s">
        <v>278</v>
      </c>
      <c r="D300" s="17">
        <f>'prévision 2017'!G1275</f>
        <v>22242495.4</v>
      </c>
      <c r="E300" s="17">
        <f>'prévision 2017'!H1275</f>
        <v>17332353</v>
      </c>
      <c r="F300" s="17">
        <f>'prévision 2017'!I1275</f>
        <v>22242495.4</v>
      </c>
      <c r="G300" s="17">
        <f>'prévision 2017'!J1275</f>
        <v>0</v>
      </c>
      <c r="H300" s="46">
        <f t="shared" si="9"/>
        <v>22242495.4</v>
      </c>
      <c r="I300" s="1">
        <f t="shared" si="8"/>
        <v>4910142.3999999985</v>
      </c>
    </row>
    <row r="301" spans="1:9" ht="15.75">
      <c r="A301" s="11" t="s">
        <v>167</v>
      </c>
      <c r="B301" s="35">
        <v>6712</v>
      </c>
      <c r="C301" s="14" t="s">
        <v>183</v>
      </c>
      <c r="D301" s="17">
        <f>'prévision 2017'!G1276</f>
        <v>192312034</v>
      </c>
      <c r="E301" s="17">
        <f>'prévision 2017'!H1276</f>
        <v>92189049</v>
      </c>
      <c r="F301" s="17">
        <f>'prévision 2017'!I1276</f>
        <v>192312034</v>
      </c>
      <c r="G301" s="17">
        <f>'prévision 2017'!J1276</f>
        <v>-90997894</v>
      </c>
      <c r="H301" s="46">
        <f t="shared" si="9"/>
        <v>101314140</v>
      </c>
      <c r="I301" s="1">
        <f t="shared" si="8"/>
        <v>9125091</v>
      </c>
    </row>
    <row r="302" spans="1:9" ht="15.75">
      <c r="A302" s="30" t="s">
        <v>167</v>
      </c>
      <c r="B302" s="37">
        <v>6717</v>
      </c>
      <c r="C302" s="14" t="s">
        <v>279</v>
      </c>
      <c r="D302" s="17">
        <f>'prévision 2017'!G1277</f>
        <v>95000000</v>
      </c>
      <c r="E302" s="17">
        <f>'prévision 2017'!H1277</f>
        <v>12113714</v>
      </c>
      <c r="F302" s="17">
        <f>'prévision 2017'!I1277</f>
        <v>95000000</v>
      </c>
      <c r="G302" s="17">
        <f>'prévision 2017'!J1277</f>
        <v>0</v>
      </c>
      <c r="H302" s="46">
        <f t="shared" si="9"/>
        <v>95000000</v>
      </c>
      <c r="I302" s="1">
        <f t="shared" si="8"/>
        <v>82886286</v>
      </c>
    </row>
    <row r="303" spans="1:9" ht="15.75">
      <c r="A303" s="11" t="s">
        <v>167</v>
      </c>
      <c r="B303" s="22" t="s">
        <v>195</v>
      </c>
      <c r="C303" s="14"/>
      <c r="D303" s="24">
        <f>SUBTOTAL(109,D294:D302)</f>
        <v>1450631156.5</v>
      </c>
      <c r="E303" s="24">
        <f>SUBTOTAL(109,E294:E302)</f>
        <v>540805053</v>
      </c>
      <c r="F303" s="24">
        <f>SUBTOTAL(109,F294:F302)</f>
        <v>1450631156.5</v>
      </c>
      <c r="G303" s="24">
        <f>SUBTOTAL(109,G294:G302)</f>
        <v>-297901502</v>
      </c>
      <c r="H303" s="24">
        <f>SUBTOTAL(109,H294:H302)</f>
        <v>1152729654.5</v>
      </c>
      <c r="I303" s="1">
        <f t="shared" si="8"/>
        <v>611924601.5</v>
      </c>
    </row>
    <row r="304" spans="1:9" ht="15.75">
      <c r="A304" s="209" t="s">
        <v>167</v>
      </c>
      <c r="B304" s="214">
        <v>2011</v>
      </c>
      <c r="C304" s="14" t="s">
        <v>649</v>
      </c>
      <c r="D304" s="17">
        <f>'prévision 2017'!G1282</f>
        <v>500000000</v>
      </c>
      <c r="E304" s="17">
        <f>'prévision 2017'!H1282</f>
        <v>172591900</v>
      </c>
      <c r="F304" s="17">
        <f>'prévision 2017'!I1282</f>
        <v>500000000</v>
      </c>
      <c r="G304" s="17">
        <f>'prévision 2017'!J1282</f>
        <v>0</v>
      </c>
      <c r="H304" s="46">
        <f t="shared" si="9"/>
        <v>500000000</v>
      </c>
      <c r="I304" s="1">
        <f t="shared" si="8"/>
        <v>327408100</v>
      </c>
    </row>
    <row r="305" spans="1:9" ht="15.75">
      <c r="A305" s="30" t="s">
        <v>167</v>
      </c>
      <c r="B305" s="214">
        <v>2141</v>
      </c>
      <c r="C305" s="14" t="s">
        <v>185</v>
      </c>
      <c r="D305" s="17">
        <f>'prévision 2017'!G1285</f>
        <v>0</v>
      </c>
      <c r="E305" s="17">
        <f>'prévision 2017'!H1285</f>
        <v>0</v>
      </c>
      <c r="F305" s="17">
        <f>'prévision 2017'!I1285</f>
        <v>0</v>
      </c>
      <c r="G305" s="17">
        <f>'prévision 2017'!J1285</f>
        <v>0</v>
      </c>
      <c r="H305" s="46">
        <f t="shared" si="9"/>
        <v>0</v>
      </c>
      <c r="I305" s="1">
        <f t="shared" si="8"/>
        <v>0</v>
      </c>
    </row>
    <row r="306" spans="1:9" ht="15.75">
      <c r="A306" s="11" t="s">
        <v>167</v>
      </c>
      <c r="B306" s="214">
        <v>2121</v>
      </c>
      <c r="C306" s="14" t="s">
        <v>63</v>
      </c>
      <c r="D306" s="17">
        <f>'prévision 2017'!G1288+'prévision 2017'!G1300</f>
        <v>1067974335</v>
      </c>
      <c r="E306" s="17">
        <f>'prévision 2017'!H1288+'prévision 2017'!H1300</f>
        <v>184610289</v>
      </c>
      <c r="F306" s="17">
        <f>'prévision 2017'!I1288+'prévision 2017'!I1300</f>
        <v>1067974335.24</v>
      </c>
      <c r="G306" s="17">
        <f>'prévision 2017'!J1288+'prévision 2017'!J1300</f>
        <v>0</v>
      </c>
      <c r="H306" s="46">
        <f t="shared" si="9"/>
        <v>1067974335.24</v>
      </c>
      <c r="I306" s="1">
        <f t="shared" si="8"/>
        <v>883364046.24</v>
      </c>
    </row>
    <row r="307" spans="1:9" ht="15.75">
      <c r="A307" s="30" t="s">
        <v>167</v>
      </c>
      <c r="B307" s="214">
        <v>2164</v>
      </c>
      <c r="C307" s="14" t="s">
        <v>322</v>
      </c>
      <c r="D307" s="17">
        <f>'prévision 2017'!G1295</f>
        <v>40000000</v>
      </c>
      <c r="E307" s="17">
        <f>'prévision 2017'!H1295</f>
        <v>20416100</v>
      </c>
      <c r="F307" s="17">
        <f>'prévision 2017'!I1295</f>
        <v>40000000</v>
      </c>
      <c r="G307" s="17">
        <f>'prévision 2017'!J1295</f>
        <v>0</v>
      </c>
      <c r="H307" s="46">
        <f t="shared" si="9"/>
        <v>40000000</v>
      </c>
      <c r="I307" s="1">
        <f t="shared" si="8"/>
        <v>19583900</v>
      </c>
    </row>
    <row r="308" spans="1:9" ht="15.75">
      <c r="A308" s="45" t="s">
        <v>167</v>
      </c>
      <c r="B308" s="214">
        <v>2165</v>
      </c>
      <c r="C308" s="14" t="s">
        <v>321</v>
      </c>
      <c r="D308" s="17">
        <f>'prévision 2017'!G1296</f>
        <v>60000000</v>
      </c>
      <c r="E308" s="17">
        <f>'prévision 2017'!H1296</f>
        <v>25122500</v>
      </c>
      <c r="F308" s="17">
        <f>'prévision 2017'!I1296</f>
        <v>60000000</v>
      </c>
      <c r="G308" s="17">
        <f>'prévision 2017'!J1296</f>
        <v>0</v>
      </c>
      <c r="H308" s="46">
        <f t="shared" si="9"/>
        <v>60000000</v>
      </c>
      <c r="I308" s="1">
        <f t="shared" si="8"/>
        <v>34877500</v>
      </c>
    </row>
    <row r="309" spans="1:9" ht="15.75">
      <c r="A309" s="45" t="s">
        <v>167</v>
      </c>
      <c r="B309" s="214">
        <v>2171</v>
      </c>
      <c r="C309" s="14" t="s">
        <v>284</v>
      </c>
      <c r="D309" s="17">
        <f>'prévision 2017'!G1297</f>
        <v>90786880</v>
      </c>
      <c r="E309" s="17">
        <f>'prévision 2017'!H1297</f>
        <v>85400000</v>
      </c>
      <c r="F309" s="17">
        <f>'prévision 2017'!I1297</f>
        <v>90786880</v>
      </c>
      <c r="G309" s="17">
        <f>'prévision 2017'!J1297</f>
        <v>0</v>
      </c>
      <c r="H309" s="46">
        <f t="shared" si="9"/>
        <v>90786880</v>
      </c>
      <c r="I309" s="1">
        <f t="shared" si="8"/>
        <v>5386880</v>
      </c>
    </row>
    <row r="310" spans="1:9" ht="15.75">
      <c r="A310" s="30" t="s">
        <v>167</v>
      </c>
      <c r="B310" s="214">
        <v>2761</v>
      </c>
      <c r="C310" s="14" t="s">
        <v>325</v>
      </c>
      <c r="D310" s="17">
        <f>'prévision 2017'!G1291</f>
        <v>0</v>
      </c>
      <c r="E310" s="17">
        <f>'prévision 2017'!H1291</f>
        <v>0</v>
      </c>
      <c r="F310" s="17">
        <f>'prévision 2017'!I1291</f>
        <v>0</v>
      </c>
      <c r="G310" s="17">
        <f>'prévision 2017'!J1291</f>
        <v>0</v>
      </c>
      <c r="H310" s="46">
        <f t="shared" si="9"/>
        <v>0</v>
      </c>
      <c r="I310" s="1">
        <f t="shared" si="8"/>
        <v>0</v>
      </c>
    </row>
    <row r="311" spans="1:9" ht="15.75">
      <c r="A311" s="45" t="s">
        <v>167</v>
      </c>
      <c r="B311" s="214">
        <v>2762</v>
      </c>
      <c r="C311" s="14" t="s">
        <v>323</v>
      </c>
      <c r="D311" s="17">
        <f>'prévision 2017'!G1292</f>
        <v>1219000000</v>
      </c>
      <c r="E311" s="17">
        <f>'prévision 2017'!H1292</f>
        <v>0</v>
      </c>
      <c r="F311" s="17">
        <f>'prévision 2017'!I1292</f>
        <v>1219000000</v>
      </c>
      <c r="G311" s="17">
        <f>'prévision 2017'!J1292</f>
        <v>-1219000000</v>
      </c>
      <c r="H311" s="46">
        <f t="shared" si="9"/>
        <v>0</v>
      </c>
      <c r="I311" s="1">
        <f t="shared" si="8"/>
        <v>0</v>
      </c>
    </row>
    <row r="312" spans="1:9" ht="15.75">
      <c r="A312" s="65" t="s">
        <v>167</v>
      </c>
      <c r="B312" s="54"/>
      <c r="C312" s="14" t="s">
        <v>328</v>
      </c>
      <c r="D312" s="17"/>
      <c r="E312" s="17"/>
      <c r="F312" s="17">
        <f>'prévision 2017'!I1301</f>
        <v>0</v>
      </c>
      <c r="G312" s="17">
        <f>'prévision 2017'!J1301</f>
        <v>0</v>
      </c>
      <c r="H312" s="46">
        <f t="shared" si="9"/>
        <v>0</v>
      </c>
      <c r="I312" s="1">
        <f t="shared" si="8"/>
        <v>0</v>
      </c>
    </row>
    <row r="313" spans="1:9" ht="15.75">
      <c r="A313" s="11" t="s">
        <v>167</v>
      </c>
      <c r="B313" s="22" t="s">
        <v>194</v>
      </c>
      <c r="C313" s="14"/>
      <c r="D313" s="24">
        <f>SUBTOTAL(109,D304:D312)</f>
        <v>2977761215</v>
      </c>
      <c r="E313" s="24">
        <f>SUBTOTAL(109,E304:E312)</f>
        <v>488140789</v>
      </c>
      <c r="F313" s="24">
        <f>SUBTOTAL(109,F304:F312)</f>
        <v>2977761215.24</v>
      </c>
      <c r="G313" s="24">
        <f>SUBTOTAL(109,G304:G312)</f>
        <v>-1219000000</v>
      </c>
      <c r="H313" s="24">
        <f>SUBTOTAL(109,H304:H312)</f>
        <v>1758761215.24</v>
      </c>
      <c r="I313" s="1">
        <f t="shared" si="8"/>
        <v>1270620426.24</v>
      </c>
    </row>
    <row r="314" spans="1:9" ht="15.75">
      <c r="A314" s="33" t="s">
        <v>167</v>
      </c>
      <c r="B314" s="56" t="s">
        <v>72</v>
      </c>
      <c r="C314" s="14"/>
      <c r="D314" s="24">
        <f>D313+D303+D293+D289+D274</f>
        <v>9360087999.557</v>
      </c>
      <c r="E314" s="24">
        <f>E313+E303+E293+E289+E274</f>
        <v>14377921953</v>
      </c>
      <c r="F314" s="24">
        <f>F313+F303+F293+F289+F274</f>
        <v>10568999545.797</v>
      </c>
      <c r="G314" s="24">
        <f>G313+G303+G293+G289+G274</f>
        <v>6732000000</v>
      </c>
      <c r="H314" s="24">
        <f>H313+H303+H293+H289+H274</f>
        <v>17300999545.796997</v>
      </c>
      <c r="I314" s="1">
        <f t="shared" si="8"/>
        <v>2923077592.796997</v>
      </c>
    </row>
    <row r="315" spans="1:9" ht="15.75">
      <c r="A315" s="42"/>
      <c r="B315" s="71"/>
      <c r="C315" s="14"/>
      <c r="D315" s="17"/>
      <c r="E315" s="17"/>
      <c r="F315" s="17"/>
      <c r="H315" s="46">
        <f t="shared" si="9"/>
        <v>0</v>
      </c>
      <c r="I315" s="1">
        <f t="shared" si="8"/>
        <v>0</v>
      </c>
    </row>
    <row r="316" spans="1:9" ht="15.75">
      <c r="A316" s="42"/>
      <c r="B316" s="64" t="s">
        <v>202</v>
      </c>
      <c r="C316" s="14"/>
      <c r="D316" s="24">
        <f>D28+D44+D57+D314+D268+D259+D242+D219+D196+D171+D151+D140+D124+D109+D92+D75</f>
        <v>56528503190.310005</v>
      </c>
      <c r="E316" s="24">
        <f>E28+E44+E57+E314+E268+E259+E242+E219+E196+E171+E151+E140+E124+E109+E92+E75</f>
        <v>47642062502.619995</v>
      </c>
      <c r="F316" s="24">
        <f>F28+F44+F57+F314+F268+F259+F242+F219+F196+F171+F151+F140+F124+F109+F92+F75</f>
        <v>56852708404.55</v>
      </c>
      <c r="G316" s="24">
        <f>G28+G44+G57+G314+G268+G259+G242+G219+G196+G171+G151+G140+G124+G109+G92+G75</f>
        <v>0</v>
      </c>
      <c r="H316" s="24">
        <f>H28+H44+H57+H314+H268+H259+H242+H219+H196+H171+H151+H140+H124+H109+H92+H75</f>
        <v>56852708404.549995</v>
      </c>
      <c r="I316" s="1">
        <f t="shared" si="8"/>
        <v>9210645901.93</v>
      </c>
    </row>
    <row r="317" spans="2:6" ht="15.75">
      <c r="B317" s="49"/>
      <c r="C317" s="14"/>
      <c r="D317" s="34"/>
      <c r="E317" s="16"/>
      <c r="F317" s="17"/>
    </row>
    <row r="318" spans="3:10" ht="15.75">
      <c r="C318" s="14"/>
      <c r="D318" s="34"/>
      <c r="E318" s="16"/>
      <c r="F318" s="17"/>
      <c r="J318" s="1"/>
    </row>
    <row r="320" spans="6:10" ht="15">
      <c r="F320" s="1"/>
      <c r="J320" t="s">
        <v>692</v>
      </c>
    </row>
    <row r="321" spans="4:10" ht="15">
      <c r="D321" s="1"/>
      <c r="F321" s="177"/>
      <c r="J321" t="s">
        <v>692</v>
      </c>
    </row>
    <row r="322" ht="15">
      <c r="J322" t="s">
        <v>692</v>
      </c>
    </row>
    <row r="323" ht="15">
      <c r="J323" t="s">
        <v>692</v>
      </c>
    </row>
    <row r="324" ht="15">
      <c r="J324" t="s">
        <v>692</v>
      </c>
    </row>
    <row r="325" ht="15">
      <c r="J325" t="s">
        <v>692</v>
      </c>
    </row>
    <row r="326" ht="15">
      <c r="J326" t="s">
        <v>692</v>
      </c>
    </row>
    <row r="327" ht="15">
      <c r="J327" t="s">
        <v>692</v>
      </c>
    </row>
    <row r="328" ht="15">
      <c r="J328" t="s">
        <v>692</v>
      </c>
    </row>
    <row r="329" ht="15">
      <c r="J329" t="s">
        <v>692</v>
      </c>
    </row>
    <row r="330" ht="15">
      <c r="J330" t="s">
        <v>692</v>
      </c>
    </row>
    <row r="331" ht="15">
      <c r="J331" t="s">
        <v>692</v>
      </c>
    </row>
    <row r="332" ht="15">
      <c r="J332" t="s">
        <v>692</v>
      </c>
    </row>
    <row r="333" ht="15">
      <c r="J333" t="s">
        <v>692</v>
      </c>
    </row>
    <row r="334" ht="15">
      <c r="J334" t="s">
        <v>692</v>
      </c>
    </row>
    <row r="335" ht="15">
      <c r="J335" t="s">
        <v>692</v>
      </c>
    </row>
    <row r="336" ht="15">
      <c r="J336" t="s">
        <v>692</v>
      </c>
    </row>
    <row r="337" ht="15">
      <c r="J337" t="s">
        <v>692</v>
      </c>
    </row>
    <row r="338" ht="15">
      <c r="J338" t="s">
        <v>692</v>
      </c>
    </row>
    <row r="339" ht="15">
      <c r="J339" t="s">
        <v>692</v>
      </c>
    </row>
    <row r="340" ht="15">
      <c r="J340" t="s">
        <v>692</v>
      </c>
    </row>
    <row r="341" ht="15">
      <c r="J341" t="s">
        <v>692</v>
      </c>
    </row>
    <row r="342" ht="15">
      <c r="J342" t="s">
        <v>692</v>
      </c>
    </row>
    <row r="343" ht="15">
      <c r="J343" t="s">
        <v>692</v>
      </c>
    </row>
    <row r="344" ht="15">
      <c r="J344" t="s">
        <v>692</v>
      </c>
    </row>
    <row r="345" ht="15">
      <c r="J345" t="s">
        <v>692</v>
      </c>
    </row>
    <row r="346" ht="15">
      <c r="J346" t="s">
        <v>692</v>
      </c>
    </row>
    <row r="347" ht="15">
      <c r="J347" t="s">
        <v>692</v>
      </c>
    </row>
    <row r="348" ht="15">
      <c r="J348" t="s">
        <v>692</v>
      </c>
    </row>
    <row r="349" ht="15">
      <c r="J349" t="s">
        <v>692</v>
      </c>
    </row>
    <row r="350" ht="15">
      <c r="J350" t="s">
        <v>692</v>
      </c>
    </row>
    <row r="351" ht="15">
      <c r="J351" t="s">
        <v>693</v>
      </c>
    </row>
  </sheetData>
  <sheetProtection/>
  <autoFilter ref="G4:H4"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7" r:id="rId4"/>
  <headerFooter>
    <oddHeader>&amp;CCOMPTE ADMINISTRATIF DE L'EXERCICE
 BUDGETAIRE 2017</oddHeader>
    <oddFooter>&amp;CCLASSIFICATION PAR MINISTERE PAR NATURE</oddFooter>
  </headerFooter>
  <rowBreaks count="6" manualBreakCount="6">
    <brk id="57" max="8" man="1"/>
    <brk id="92" max="8" man="1"/>
    <brk id="124" max="8" man="1"/>
    <brk id="151" max="8" man="1"/>
    <brk id="219" max="8" man="1"/>
    <brk id="268" max="8" man="1"/>
  </rowBreaks>
  <ignoredErrors>
    <ignoredError sqref="E47 E78 E95"/>
  </ignoredErrors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workbookViewId="0" topLeftCell="A1">
      <pane ySplit="2" topLeftCell="A73" activePane="bottomLeft" state="frozen"/>
      <selection pane="topLeft" activeCell="A1" sqref="A1"/>
      <selection pane="bottomLeft" activeCell="B34" sqref="B34"/>
    </sheetView>
  </sheetViews>
  <sheetFormatPr defaultColWidth="11.421875" defaultRowHeight="15"/>
  <cols>
    <col min="1" max="1" width="16.7109375" style="0" customWidth="1"/>
    <col min="2" max="2" width="64.8515625" style="0" customWidth="1"/>
    <col min="3" max="3" width="29.421875" style="0" customWidth="1"/>
    <col min="4" max="4" width="19.57421875" style="0" customWidth="1"/>
    <col min="5" max="5" width="23.00390625" style="0" customWidth="1"/>
    <col min="6" max="6" width="18.28125" style="0" bestFit="1" customWidth="1"/>
    <col min="7" max="7" width="18.8515625" style="0" customWidth="1"/>
  </cols>
  <sheetData>
    <row r="1" spans="1:3" ht="15.75">
      <c r="A1" s="91"/>
      <c r="B1" s="91"/>
      <c r="C1" s="91"/>
    </row>
    <row r="2" spans="1:7" ht="15.75" thickBot="1">
      <c r="A2" s="623" t="s">
        <v>0</v>
      </c>
      <c r="B2" s="623" t="s">
        <v>190</v>
      </c>
      <c r="C2" s="623" t="s">
        <v>690</v>
      </c>
      <c r="D2" s="623" t="s">
        <v>699</v>
      </c>
      <c r="E2" s="623" t="s">
        <v>691</v>
      </c>
      <c r="F2" s="624" t="s">
        <v>700</v>
      </c>
      <c r="G2" s="625" t="s">
        <v>698</v>
      </c>
    </row>
    <row r="3" spans="1:7" ht="19.5" thickTop="1">
      <c r="A3" s="86">
        <v>1711</v>
      </c>
      <c r="B3" s="57" t="s">
        <v>179</v>
      </c>
      <c r="C3" s="92">
        <f>'C. Min par nature '!D294</f>
        <v>442833369.2</v>
      </c>
      <c r="D3" s="92">
        <f>'C. Min par nature '!E294</f>
        <v>316295617</v>
      </c>
      <c r="E3" s="92">
        <f>'C. Min par nature '!F294</f>
        <v>442833369.2</v>
      </c>
      <c r="F3" s="92">
        <f>'C. Min par nature '!G294</f>
        <v>-116534855</v>
      </c>
      <c r="G3" s="92">
        <f>E3+F3</f>
        <v>326298514.2</v>
      </c>
    </row>
    <row r="4" spans="1:7" ht="18.75">
      <c r="A4" s="87">
        <v>1712</v>
      </c>
      <c r="B4" s="59" t="s">
        <v>180</v>
      </c>
      <c r="C4" s="92">
        <f>'C. Min par nature '!D295</f>
        <v>198243257.9</v>
      </c>
      <c r="D4" s="92">
        <f>'C. Min par nature '!E295</f>
        <v>102874320</v>
      </c>
      <c r="E4" s="92">
        <f>'C. Min par nature '!F295</f>
        <v>198243257.9</v>
      </c>
      <c r="F4" s="92">
        <f>'C. Min par nature '!G295</f>
        <v>-90368753</v>
      </c>
      <c r="G4" s="92">
        <f aca="true" t="shared" si="0" ref="G4:G11">E4+F4</f>
        <v>107874504.9</v>
      </c>
    </row>
    <row r="5" spans="1:7" ht="18.75">
      <c r="A5" s="86">
        <v>1761</v>
      </c>
      <c r="B5" s="57" t="s">
        <v>181</v>
      </c>
      <c r="C5" s="92">
        <f>'C. Min par nature '!D296</f>
        <v>0</v>
      </c>
      <c r="D5" s="92">
        <f>'C. Min par nature '!E296</f>
        <v>0</v>
      </c>
      <c r="E5" s="92">
        <f>'C. Min par nature '!F296</f>
        <v>0</v>
      </c>
      <c r="F5" s="92">
        <f>'C. Min par nature '!G296</f>
        <v>0</v>
      </c>
      <c r="G5" s="92">
        <f t="shared" si="0"/>
        <v>0</v>
      </c>
    </row>
    <row r="6" spans="1:7" ht="18.75">
      <c r="A6" s="86">
        <v>1762</v>
      </c>
      <c r="B6" s="82" t="s">
        <v>248</v>
      </c>
      <c r="C6" s="92">
        <f>'C. Min par nature '!D297</f>
        <v>0</v>
      </c>
      <c r="D6" s="92">
        <f>'C. Min par nature '!E297</f>
        <v>0</v>
      </c>
      <c r="E6" s="92">
        <f>'C. Min par nature '!F297</f>
        <v>0</v>
      </c>
      <c r="F6" s="92">
        <f>'C. Min par nature '!G297</f>
        <v>0</v>
      </c>
      <c r="G6" s="92">
        <f t="shared" si="0"/>
        <v>0</v>
      </c>
    </row>
    <row r="7" spans="1:7" ht="18.75">
      <c r="A7" s="86">
        <v>1763</v>
      </c>
      <c r="B7" s="82" t="s">
        <v>249</v>
      </c>
      <c r="C7" s="92">
        <f>'C. Min par nature '!D298</f>
        <v>0</v>
      </c>
      <c r="D7" s="92">
        <f>'C. Min par nature '!E298</f>
        <v>0</v>
      </c>
      <c r="E7" s="92">
        <f>'C. Min par nature '!F298</f>
        <v>0</v>
      </c>
      <c r="F7" s="92">
        <f>'C. Min par nature '!G298</f>
        <v>0</v>
      </c>
      <c r="G7" s="92">
        <f t="shared" si="0"/>
        <v>0</v>
      </c>
    </row>
    <row r="8" spans="1:7" ht="18.75">
      <c r="A8" s="86">
        <v>1861</v>
      </c>
      <c r="B8" s="82" t="s">
        <v>647</v>
      </c>
      <c r="C8" s="92">
        <f>'C. Min par nature '!D299</f>
        <v>500000000</v>
      </c>
      <c r="D8" s="92">
        <f>'C. Min par nature '!E299</f>
        <v>0</v>
      </c>
      <c r="E8" s="92">
        <f>'C. Min par nature '!F299</f>
        <v>500000000</v>
      </c>
      <c r="F8" s="92">
        <f>'C. Min par nature '!G299</f>
        <v>0</v>
      </c>
      <c r="G8" s="92">
        <f t="shared" si="0"/>
        <v>500000000</v>
      </c>
    </row>
    <row r="9" spans="1:7" ht="18.75">
      <c r="A9" s="86">
        <v>6711</v>
      </c>
      <c r="B9" s="59" t="s">
        <v>278</v>
      </c>
      <c r="C9" s="92">
        <f>'C. Min par nature '!D300</f>
        <v>22242495.4</v>
      </c>
      <c r="D9" s="92">
        <f>'C. Min par nature '!E300</f>
        <v>17332353</v>
      </c>
      <c r="E9" s="92">
        <f>'C. Min par nature '!F300</f>
        <v>22242495.4</v>
      </c>
      <c r="F9" s="92">
        <f>'C. Min par nature '!G300</f>
        <v>0</v>
      </c>
      <c r="G9" s="92">
        <f t="shared" si="0"/>
        <v>22242495.4</v>
      </c>
    </row>
    <row r="10" spans="1:7" ht="18.75">
      <c r="A10" s="86">
        <v>6712</v>
      </c>
      <c r="B10" s="57" t="s">
        <v>183</v>
      </c>
      <c r="C10" s="92">
        <f>'C. Min par nature '!D301</f>
        <v>192312034</v>
      </c>
      <c r="D10" s="92">
        <f>'C. Min par nature '!E301</f>
        <v>92189049</v>
      </c>
      <c r="E10" s="92">
        <f>'C. Min par nature '!F301</f>
        <v>192312034</v>
      </c>
      <c r="F10" s="92">
        <f>'C. Min par nature '!G301</f>
        <v>-90997894</v>
      </c>
      <c r="G10" s="92">
        <f t="shared" si="0"/>
        <v>101314140</v>
      </c>
    </row>
    <row r="11" spans="1:7" ht="18.75">
      <c r="A11" s="86">
        <v>6717</v>
      </c>
      <c r="B11" s="59" t="s">
        <v>279</v>
      </c>
      <c r="C11" s="92">
        <f>'C. Min par nature '!D302</f>
        <v>95000000</v>
      </c>
      <c r="D11" s="92">
        <f>'C. Min par nature '!E302</f>
        <v>12113714</v>
      </c>
      <c r="E11" s="92">
        <f>'C. Min par nature '!F302</f>
        <v>95000000</v>
      </c>
      <c r="F11" s="92">
        <f>'C. Min par nature '!G302</f>
        <v>0</v>
      </c>
      <c r="G11" s="92">
        <f t="shared" si="0"/>
        <v>95000000</v>
      </c>
    </row>
    <row r="12" spans="1:7" ht="18.75">
      <c r="A12" s="163" t="s">
        <v>195</v>
      </c>
      <c r="B12" s="82"/>
      <c r="C12" s="66">
        <f>SUM(C3:C11)</f>
        <v>1450631156.5</v>
      </c>
      <c r="D12" s="66">
        <f>SUM(D3:D11)</f>
        <v>540805053</v>
      </c>
      <c r="E12" s="66">
        <f>SUM(E3:E11)</f>
        <v>1450631156.5</v>
      </c>
      <c r="F12" s="66">
        <f>SUM(F3:F11)</f>
        <v>-297901502</v>
      </c>
      <c r="G12" s="66">
        <f>SUM(G3:G11)</f>
        <v>1152729654.5</v>
      </c>
    </row>
    <row r="13" spans="1:7" ht="18.75">
      <c r="A13" s="86">
        <v>2011</v>
      </c>
      <c r="B13" s="204" t="s">
        <v>649</v>
      </c>
      <c r="C13" s="92">
        <f>'C. Min par nature '!D304</f>
        <v>500000000</v>
      </c>
      <c r="D13" s="92">
        <f>'C. Min par nature '!E304</f>
        <v>172591900</v>
      </c>
      <c r="E13" s="92">
        <f>'C. Min par nature '!F304</f>
        <v>500000000</v>
      </c>
      <c r="F13" s="92">
        <f>'C. Min par nature '!G304</f>
        <v>0</v>
      </c>
      <c r="G13" s="92">
        <f>E13+F13</f>
        <v>500000000</v>
      </c>
    </row>
    <row r="14" spans="1:7" ht="18.75">
      <c r="A14" s="86">
        <v>2041</v>
      </c>
      <c r="B14" s="204" t="s">
        <v>557</v>
      </c>
      <c r="C14" s="92">
        <f>'C. Min par nature '!D212</f>
        <v>2680000</v>
      </c>
      <c r="D14" s="92">
        <f>'C. Min par nature '!E212</f>
        <v>0</v>
      </c>
      <c r="E14" s="92">
        <f>'C. Min par nature '!F212</f>
        <v>2680000</v>
      </c>
      <c r="F14" s="92">
        <f>'C. Min par nature '!G212</f>
        <v>0</v>
      </c>
      <c r="G14" s="92">
        <f aca="true" t="shared" si="1" ref="G14:G43">E14+F14</f>
        <v>2680000</v>
      </c>
    </row>
    <row r="15" spans="1:7" ht="18.75">
      <c r="A15" s="86">
        <v>2115</v>
      </c>
      <c r="B15" s="204" t="s">
        <v>570</v>
      </c>
      <c r="C15" s="92">
        <f>'C. Min par nature '!D256</f>
        <v>3000000000</v>
      </c>
      <c r="D15" s="92">
        <f>'C. Min par nature '!E256</f>
        <v>0</v>
      </c>
      <c r="E15" s="92">
        <f>'C. Min par nature '!F256</f>
        <v>0</v>
      </c>
      <c r="F15" s="92">
        <f>'C. Min par nature '!G256</f>
        <v>0</v>
      </c>
      <c r="G15" s="92">
        <f t="shared" si="1"/>
        <v>0</v>
      </c>
    </row>
    <row r="16" spans="1:7" ht="18.75">
      <c r="A16" s="86">
        <v>2121</v>
      </c>
      <c r="B16" s="97" t="s">
        <v>590</v>
      </c>
      <c r="C16" s="92">
        <f>'C. Min par nature '!D106+'C. Min par nature '!D164+'C. Min par nature '!D213+'C. Min par nature '!D235+'C. Min par nature '!D257+'C. Min par nature '!D306</f>
        <v>1559209279.52</v>
      </c>
      <c r="D16" s="92">
        <f>'C. Min par nature '!E106+'C. Min par nature '!E164+'C. Min par nature '!E213+'C. Min par nature '!E235+'C. Min par nature '!E257+'C. Min par nature '!E306</f>
        <v>190391789</v>
      </c>
      <c r="E16" s="92">
        <f>'C. Min par nature '!F106+'C. Min par nature '!F164+'C. Min par nature '!F213+'C. Min par nature '!F235+'C. Min par nature '!F257+'C. Min par nature '!F306</f>
        <v>1559209279.76</v>
      </c>
      <c r="F16" s="92">
        <f>'C. Min par nature '!G106+'C. Min par nature '!G164+'C. Min par nature '!G213+'C. Min par nature '!G235+'C. Min par nature '!G257+'C. Min par nature '!G306</f>
        <v>0</v>
      </c>
      <c r="G16" s="92">
        <f t="shared" si="1"/>
        <v>1559209279.76</v>
      </c>
    </row>
    <row r="17" spans="1:7" ht="18.75">
      <c r="A17" s="86">
        <v>21221</v>
      </c>
      <c r="B17" s="97" t="s">
        <v>652</v>
      </c>
      <c r="C17" s="216">
        <f>'C. Min par nature '!D214</f>
        <v>200000000</v>
      </c>
      <c r="D17" s="216">
        <f>'C. Min par nature '!E214</f>
        <v>0</v>
      </c>
      <c r="E17" s="216">
        <f>'C. Min par nature '!F214</f>
        <v>200000000</v>
      </c>
      <c r="F17" s="216">
        <f>'C. Min par nature '!G214</f>
        <v>0</v>
      </c>
      <c r="G17" s="92">
        <f t="shared" si="1"/>
        <v>200000000</v>
      </c>
    </row>
    <row r="18" spans="1:7" ht="18.75">
      <c r="A18" s="86">
        <v>2123</v>
      </c>
      <c r="B18" s="90" t="s">
        <v>619</v>
      </c>
      <c r="C18" s="92">
        <f>'C. Min par nature '!D89</f>
        <v>150000000</v>
      </c>
      <c r="D18" s="92">
        <f>'C. Min par nature '!E89</f>
        <v>8907000</v>
      </c>
      <c r="E18" s="92">
        <f>'C. Min par nature '!F89</f>
        <v>150000000</v>
      </c>
      <c r="F18" s="92">
        <f>'C. Min par nature '!G89</f>
        <v>0</v>
      </c>
      <c r="G18" s="92">
        <f t="shared" si="1"/>
        <v>150000000</v>
      </c>
    </row>
    <row r="19" spans="1:7" ht="18.75">
      <c r="A19" s="86">
        <v>2124</v>
      </c>
      <c r="B19" s="90" t="s">
        <v>578</v>
      </c>
      <c r="C19" s="92">
        <f>'C. Min par nature '!D186</f>
        <v>0</v>
      </c>
      <c r="D19" s="92">
        <f>'C. Min par nature '!E186</f>
        <v>0</v>
      </c>
      <c r="E19" s="92">
        <f>'C. Min par nature '!F186</f>
        <v>0</v>
      </c>
      <c r="F19" s="92">
        <f>'C. Min par nature '!G186</f>
        <v>0</v>
      </c>
      <c r="G19" s="92">
        <f t="shared" si="1"/>
        <v>0</v>
      </c>
    </row>
    <row r="20" spans="1:7" ht="18.75">
      <c r="A20" s="86">
        <v>21251</v>
      </c>
      <c r="B20" s="57" t="s">
        <v>579</v>
      </c>
      <c r="C20" s="92">
        <f>'C. Min par nature '!D165</f>
        <v>500000000</v>
      </c>
      <c r="D20" s="92">
        <f>'C. Min par nature '!E165</f>
        <v>0</v>
      </c>
      <c r="E20" s="92">
        <f>'C. Min par nature '!F165</f>
        <v>500000000</v>
      </c>
      <c r="F20" s="92">
        <f>'C. Min par nature '!G165</f>
        <v>-400000000</v>
      </c>
      <c r="G20" s="92">
        <f t="shared" si="1"/>
        <v>100000000</v>
      </c>
    </row>
    <row r="21" spans="1:7" ht="18.75">
      <c r="A21" s="86">
        <v>21252</v>
      </c>
      <c r="B21" s="57" t="s">
        <v>580</v>
      </c>
      <c r="C21" s="92">
        <f>'C. Min par nature '!D166</f>
        <v>0</v>
      </c>
      <c r="D21" s="92">
        <f>'C. Min par nature '!E166</f>
        <v>0</v>
      </c>
      <c r="E21" s="92">
        <f>'C. Min par nature '!F166</f>
        <v>0</v>
      </c>
      <c r="F21" s="92">
        <f>'C. Min par nature '!G166</f>
        <v>0</v>
      </c>
      <c r="G21" s="92">
        <f t="shared" si="1"/>
        <v>0</v>
      </c>
    </row>
    <row r="22" spans="1:7" ht="18.75">
      <c r="A22" s="86">
        <v>2126</v>
      </c>
      <c r="B22" s="57" t="s">
        <v>646</v>
      </c>
      <c r="C22" s="92">
        <f>'C. Min par nature '!D167</f>
        <v>2000000000</v>
      </c>
      <c r="D22" s="92">
        <f>'C. Min par nature '!E167</f>
        <v>0</v>
      </c>
      <c r="E22" s="92">
        <f>'C. Min par nature '!F167</f>
        <v>0</v>
      </c>
      <c r="F22" s="92">
        <f>'C. Min par nature '!G167</f>
        <v>0</v>
      </c>
      <c r="G22" s="92">
        <f t="shared" si="1"/>
        <v>0</v>
      </c>
    </row>
    <row r="23" spans="1:7" ht="18.75">
      <c r="A23" s="86">
        <v>2127</v>
      </c>
      <c r="B23" s="57" t="s">
        <v>650</v>
      </c>
      <c r="C23" s="92">
        <f>'C. Min par nature '!D187</f>
        <v>5000000000</v>
      </c>
      <c r="D23" s="92"/>
      <c r="E23" s="92">
        <f>'C. Min par nature '!F187</f>
        <v>0</v>
      </c>
      <c r="F23" s="92">
        <f>'C. Min par nature '!G187</f>
        <v>0</v>
      </c>
      <c r="G23" s="92">
        <f t="shared" si="1"/>
        <v>0</v>
      </c>
    </row>
    <row r="24" spans="1:7" ht="18.75">
      <c r="A24" s="86">
        <v>2128</v>
      </c>
      <c r="B24" s="219" t="s">
        <v>645</v>
      </c>
      <c r="C24" s="92">
        <f>'C. Min par nature '!D188+'C. Min par nature '!D236</f>
        <v>1148000000</v>
      </c>
      <c r="D24" s="92">
        <f>'C. Min par nature '!E188+'C. Min par nature '!E236</f>
        <v>0</v>
      </c>
      <c r="E24" s="92">
        <f>'C. Min par nature '!F188+'C. Min par nature '!F236</f>
        <v>881000000</v>
      </c>
      <c r="F24" s="92">
        <f>'C. Min par nature '!G188+'C. Min par nature '!G236</f>
        <v>-881000000</v>
      </c>
      <c r="G24" s="92">
        <f t="shared" si="1"/>
        <v>0</v>
      </c>
    </row>
    <row r="25" spans="1:7" ht="18.75">
      <c r="A25" s="95">
        <v>21411</v>
      </c>
      <c r="B25" s="59" t="s">
        <v>185</v>
      </c>
      <c r="C25" s="92">
        <f>'C. Min par nature '!D168+'C. Min par nature '!D305</f>
        <v>1095823840</v>
      </c>
      <c r="D25" s="92">
        <f>'C. Min par nature '!E168+'C. Min par nature '!E305</f>
        <v>330000000</v>
      </c>
      <c r="E25" s="92">
        <f>'C. Min par nature '!F168+'C. Min par nature '!F305</f>
        <v>1095823840</v>
      </c>
      <c r="F25" s="92">
        <f>'C. Min par nature '!G168+'C. Min par nature '!G305</f>
        <v>0</v>
      </c>
      <c r="G25" s="92">
        <f t="shared" si="1"/>
        <v>1095823840</v>
      </c>
    </row>
    <row r="26" spans="1:7" ht="18.75">
      <c r="A26" s="95">
        <v>21412</v>
      </c>
      <c r="B26" s="57" t="s">
        <v>651</v>
      </c>
      <c r="C26" s="92">
        <f>'C. Min par nature '!D169</f>
        <v>500000000</v>
      </c>
      <c r="D26" s="92">
        <f>'C. Min par nature '!E169</f>
        <v>0</v>
      </c>
      <c r="E26" s="92">
        <f>'C. Min par nature '!F169</f>
        <v>500000000</v>
      </c>
      <c r="F26" s="92">
        <f>'C. Min par nature '!G169</f>
        <v>0</v>
      </c>
      <c r="G26" s="92">
        <f t="shared" si="1"/>
        <v>500000000</v>
      </c>
    </row>
    <row r="27" spans="1:7" ht="18.75">
      <c r="A27" s="95">
        <v>2151</v>
      </c>
      <c r="B27" s="59" t="s">
        <v>571</v>
      </c>
      <c r="C27" s="92">
        <f>'C. Min par nature '!D189</f>
        <v>0</v>
      </c>
      <c r="D27" s="92">
        <f>'C. Min par nature '!E189</f>
        <v>0</v>
      </c>
      <c r="E27" s="92">
        <f>'C. Min par nature '!F189</f>
        <v>0</v>
      </c>
      <c r="F27" s="92">
        <f>'C. Min par nature '!G189</f>
        <v>0</v>
      </c>
      <c r="G27" s="92">
        <f t="shared" si="1"/>
        <v>0</v>
      </c>
    </row>
    <row r="28" spans="1:7" ht="18.75">
      <c r="A28" s="95">
        <v>2154</v>
      </c>
      <c r="B28" s="59" t="s">
        <v>554</v>
      </c>
      <c r="C28" s="92">
        <f>'C. Min par nature '!D190</f>
        <v>6000000000</v>
      </c>
      <c r="D28" s="92">
        <f>'C. Min par nature '!E190</f>
        <v>7807664186</v>
      </c>
      <c r="E28" s="92">
        <f>'C. Min par nature '!F190</f>
        <v>14500000000</v>
      </c>
      <c r="F28" s="92">
        <f>'C. Min par nature '!G190</f>
        <v>-4926000000</v>
      </c>
      <c r="G28" s="92">
        <f t="shared" si="1"/>
        <v>9574000000</v>
      </c>
    </row>
    <row r="29" spans="1:7" ht="18.75">
      <c r="A29" s="95">
        <v>2157</v>
      </c>
      <c r="B29" s="59" t="s">
        <v>555</v>
      </c>
      <c r="C29" s="92">
        <f>'C. Min par nature '!D191</f>
        <v>500000000</v>
      </c>
      <c r="D29" s="92">
        <f>'C. Min par nature '!E191</f>
        <v>0</v>
      </c>
      <c r="E29" s="92">
        <f>'C. Min par nature '!F191</f>
        <v>0</v>
      </c>
      <c r="F29" s="92">
        <f>'C. Min par nature '!G191</f>
        <v>0</v>
      </c>
      <c r="G29" s="92">
        <f t="shared" si="1"/>
        <v>0</v>
      </c>
    </row>
    <row r="30" spans="1:7" ht="18.75">
      <c r="A30" s="95">
        <v>2158</v>
      </c>
      <c r="B30" s="59" t="s">
        <v>576</v>
      </c>
      <c r="C30" s="92">
        <f>'C. Min par nature '!D192</f>
        <v>1000000000</v>
      </c>
      <c r="D30" s="92">
        <f>'C. Min par nature '!E192</f>
        <v>0</v>
      </c>
      <c r="E30" s="92">
        <f>'C. Min par nature '!F192</f>
        <v>0</v>
      </c>
      <c r="F30" s="92">
        <f>'C. Min par nature '!G192</f>
        <v>0</v>
      </c>
      <c r="G30" s="92">
        <f t="shared" si="1"/>
        <v>0</v>
      </c>
    </row>
    <row r="31" spans="1:7" ht="18.75">
      <c r="A31" s="95">
        <v>2156</v>
      </c>
      <c r="B31" s="59" t="s">
        <v>572</v>
      </c>
      <c r="C31" s="92">
        <f>'C. Min par nature '!D237</f>
        <v>1000000000</v>
      </c>
      <c r="D31" s="92">
        <f>'C. Min par nature '!E237</f>
        <v>500000000</v>
      </c>
      <c r="E31" s="92">
        <f>'C. Min par nature '!F237</f>
        <v>1000000000</v>
      </c>
      <c r="F31" s="92">
        <f>'C. Min par nature '!G237</f>
        <v>0</v>
      </c>
      <c r="G31" s="92">
        <f t="shared" si="1"/>
        <v>1000000000</v>
      </c>
    </row>
    <row r="32" spans="1:7" ht="18.75">
      <c r="A32" s="95">
        <v>2161</v>
      </c>
      <c r="B32" s="203" t="s">
        <v>286</v>
      </c>
      <c r="C32" s="92">
        <f>'C. Min par nature '!D25+'C. Min par nature '!D216+'C. Min par nature '!D238</f>
        <v>1234000000</v>
      </c>
      <c r="D32" s="92">
        <f>'C. Min par nature '!E25+'C. Min par nature '!E216+'C. Min par nature '!E238</f>
        <v>1000000</v>
      </c>
      <c r="E32" s="92">
        <f>'C. Min par nature '!F25+'C. Min par nature '!F216+'C. Min par nature '!F238</f>
        <v>1000000</v>
      </c>
      <c r="F32" s="92">
        <f>'C. Min par nature '!G25+'C. Min par nature '!G216+'C. Min par nature '!G238</f>
        <v>0</v>
      </c>
      <c r="G32" s="92">
        <f t="shared" si="1"/>
        <v>1000000</v>
      </c>
    </row>
    <row r="33" spans="1:7" ht="18.75">
      <c r="A33" s="95">
        <v>2162</v>
      </c>
      <c r="B33" s="203" t="s">
        <v>553</v>
      </c>
      <c r="C33" s="92">
        <f>'C. Min par nature '!D217</f>
        <v>0</v>
      </c>
      <c r="D33" s="92">
        <f>'C. Min par nature '!E217</f>
        <v>0</v>
      </c>
      <c r="E33" s="92">
        <f>'C. Min par nature '!F217</f>
        <v>0</v>
      </c>
      <c r="F33" s="92">
        <f>'C. Min par nature '!G217</f>
        <v>0</v>
      </c>
      <c r="G33" s="92">
        <f t="shared" si="1"/>
        <v>0</v>
      </c>
    </row>
    <row r="34" spans="1:7" ht="18.75">
      <c r="A34" s="95">
        <v>2163</v>
      </c>
      <c r="B34" s="648" t="s">
        <v>656</v>
      </c>
      <c r="C34" s="92">
        <f>'C. Min par nature '!D90</f>
        <v>600000000</v>
      </c>
      <c r="D34" s="92">
        <f>'C. Min par nature '!E90</f>
        <v>0</v>
      </c>
      <c r="E34" s="92">
        <f>'C. Min par nature '!F90</f>
        <v>600000000</v>
      </c>
      <c r="F34" s="92">
        <f>'C. Min par nature '!G90</f>
        <v>-600000000</v>
      </c>
      <c r="G34" s="92">
        <f t="shared" si="1"/>
        <v>0</v>
      </c>
    </row>
    <row r="35" spans="1:7" ht="18.75">
      <c r="A35" s="95">
        <v>2164</v>
      </c>
      <c r="B35" s="203" t="s">
        <v>583</v>
      </c>
      <c r="C35" s="92">
        <f>'C. Min par nature '!D26+'C. Min par nature '!D107+'C. Min par nature '!D121+'C. Min par nature '!D193+'C. Min par nature '!D307</f>
        <v>643500000</v>
      </c>
      <c r="D35" s="92">
        <f>'C. Min par nature '!E26+'C. Min par nature '!E107+'C. Min par nature '!E121+'C. Min par nature '!E193+'C. Min par nature '!E307</f>
        <v>27416100</v>
      </c>
      <c r="E35" s="92">
        <f>'C. Min par nature '!F26+'C. Min par nature '!F107+'C. Min par nature '!F121+'C. Min par nature '!F193+'C. Min par nature '!F307</f>
        <v>47000000</v>
      </c>
      <c r="F35" s="92">
        <f>'C. Min par nature '!G26+'C. Min par nature '!G107+'C. Min par nature '!G121+'C. Min par nature '!G193+'C. Min par nature '!G307</f>
        <v>0</v>
      </c>
      <c r="G35" s="92">
        <f t="shared" si="1"/>
        <v>47000000</v>
      </c>
    </row>
    <row r="36" spans="1:7" ht="18.75">
      <c r="A36" s="95">
        <v>2165</v>
      </c>
      <c r="B36" s="203" t="s">
        <v>283</v>
      </c>
      <c r="C36" s="92">
        <f>'C. Min par nature '!D308</f>
        <v>60000000</v>
      </c>
      <c r="D36" s="92">
        <f>'C. Min par nature '!E308</f>
        <v>25122500</v>
      </c>
      <c r="E36" s="92">
        <f>'C. Min par nature '!F308</f>
        <v>60000000</v>
      </c>
      <c r="F36" s="92">
        <f>'C. Min par nature '!G308</f>
        <v>0</v>
      </c>
      <c r="G36" s="92">
        <f t="shared" si="1"/>
        <v>60000000</v>
      </c>
    </row>
    <row r="37" spans="1:7" ht="18.75">
      <c r="A37" s="95">
        <v>2171</v>
      </c>
      <c r="B37" s="203" t="s">
        <v>284</v>
      </c>
      <c r="C37" s="92">
        <f>'C. Min par nature '!D122+'C. Min par nature '!D194+'C. Min par nature '!D309</f>
        <v>99786880</v>
      </c>
      <c r="D37" s="92">
        <f>'C. Min par nature '!E122+'C. Min par nature '!E194+'C. Min par nature '!E309</f>
        <v>85400000</v>
      </c>
      <c r="E37" s="92">
        <f>'C. Min par nature '!F122+'C. Min par nature '!F194+'C. Min par nature '!F309</f>
        <v>99786880</v>
      </c>
      <c r="F37" s="92">
        <f>'C. Min par nature '!G122+'C. Min par nature '!G194+'C. Min par nature '!G309</f>
        <v>0</v>
      </c>
      <c r="G37" s="92">
        <f t="shared" si="1"/>
        <v>99786880</v>
      </c>
    </row>
    <row r="38" spans="1:7" ht="18.75">
      <c r="A38" s="95">
        <v>2178</v>
      </c>
      <c r="B38" s="203" t="s">
        <v>585</v>
      </c>
      <c r="C38" s="92">
        <f>'C. Min par nature '!D24</f>
        <v>67000000</v>
      </c>
      <c r="D38" s="92">
        <f>'C. Min par nature '!E24</f>
        <v>67000000</v>
      </c>
      <c r="E38" s="92">
        <f>'C. Min par nature '!F24</f>
        <v>67000000</v>
      </c>
      <c r="F38" s="92">
        <f>'C. Min par nature '!G24</f>
        <v>0</v>
      </c>
      <c r="G38" s="92">
        <f t="shared" si="1"/>
        <v>67000000</v>
      </c>
    </row>
    <row r="39" spans="1:7" ht="18.75">
      <c r="A39" s="95">
        <v>2182</v>
      </c>
      <c r="B39" s="203" t="s">
        <v>43</v>
      </c>
      <c r="C39" s="92">
        <f>'C. Min par nature '!D239</f>
        <v>0</v>
      </c>
      <c r="D39" s="92">
        <f>'C. Min par nature '!E239</f>
        <v>0</v>
      </c>
      <c r="E39" s="92">
        <f>'C. Min par nature '!F239</f>
        <v>0</v>
      </c>
      <c r="F39" s="92">
        <f>'C. Min par nature '!G239</f>
        <v>0</v>
      </c>
      <c r="G39" s="92">
        <f t="shared" si="1"/>
        <v>0</v>
      </c>
    </row>
    <row r="40" spans="1:7" ht="18.75">
      <c r="A40" s="95">
        <v>2183</v>
      </c>
      <c r="B40" s="203" t="s">
        <v>569</v>
      </c>
      <c r="C40" s="92">
        <f>'C. Min par nature '!D240</f>
        <v>0</v>
      </c>
      <c r="D40" s="92">
        <f>'C. Min par nature '!E240</f>
        <v>0</v>
      </c>
      <c r="E40" s="92">
        <f>'C. Min par nature '!F240</f>
        <v>0</v>
      </c>
      <c r="F40" s="92">
        <f>'C. Min par nature '!G240</f>
        <v>0</v>
      </c>
      <c r="G40" s="92">
        <f t="shared" si="1"/>
        <v>0</v>
      </c>
    </row>
    <row r="41" spans="1:7" ht="18.75">
      <c r="A41" s="599">
        <v>2731</v>
      </c>
      <c r="B41" s="563" t="s">
        <v>695</v>
      </c>
      <c r="C41" s="92">
        <f>'C. Min par nature '!D138</f>
        <v>0</v>
      </c>
      <c r="D41" s="92">
        <f>'C. Min par nature '!E138</f>
        <v>3500000000</v>
      </c>
      <c r="E41" s="92">
        <f>'C. Min par nature '!F138</f>
        <v>3500000000</v>
      </c>
      <c r="F41" s="92">
        <f>'C. Min par nature '!G138</f>
        <v>0</v>
      </c>
      <c r="G41" s="92">
        <f t="shared" si="1"/>
        <v>3500000000</v>
      </c>
    </row>
    <row r="42" spans="1:7" ht="18.75">
      <c r="A42" s="86">
        <v>2761</v>
      </c>
      <c r="B42" s="89" t="s">
        <v>325</v>
      </c>
      <c r="C42" s="92">
        <f>'C. Min par nature '!D310</f>
        <v>0</v>
      </c>
      <c r="D42" s="92">
        <f>'C. Min par nature '!E310</f>
        <v>0</v>
      </c>
      <c r="E42" s="92">
        <f>'C. Min par nature '!F310</f>
        <v>0</v>
      </c>
      <c r="F42" s="92">
        <f>'C. Min par nature '!G310</f>
        <v>0</v>
      </c>
      <c r="G42" s="92">
        <f t="shared" si="1"/>
        <v>0</v>
      </c>
    </row>
    <row r="43" spans="1:7" ht="18.75">
      <c r="A43" s="86">
        <v>2762</v>
      </c>
      <c r="B43" s="90" t="s">
        <v>323</v>
      </c>
      <c r="C43" s="92">
        <f>'C. Min par nature '!D311</f>
        <v>1219000000</v>
      </c>
      <c r="D43" s="92">
        <f>'C. Min par nature '!E311</f>
        <v>0</v>
      </c>
      <c r="E43" s="92">
        <f>'C. Min par nature '!F311</f>
        <v>1219000000</v>
      </c>
      <c r="F43" s="92">
        <f>'C. Min par nature '!G311</f>
        <v>-1219000000</v>
      </c>
      <c r="G43" s="92">
        <f t="shared" si="1"/>
        <v>0</v>
      </c>
    </row>
    <row r="44" spans="1:7" ht="18.75">
      <c r="A44" s="93" t="s">
        <v>194</v>
      </c>
      <c r="B44" s="89"/>
      <c r="C44" s="66">
        <f>SUM(C13:C43)</f>
        <v>28078999999.52</v>
      </c>
      <c r="D44" s="66">
        <f>SUM(D13:D43)</f>
        <v>12715493475</v>
      </c>
      <c r="E44" s="66">
        <f>SUM(E13:E43)</f>
        <v>26482499999.760002</v>
      </c>
      <c r="F44" s="66">
        <f>SUM(F13:F43)</f>
        <v>-8026000000</v>
      </c>
      <c r="G44" s="66">
        <f>SUM(G13:G43)</f>
        <v>18456499999.760002</v>
      </c>
    </row>
    <row r="45" spans="1:7" ht="18.75">
      <c r="A45" s="95">
        <v>6611</v>
      </c>
      <c r="B45" s="84" t="s">
        <v>6</v>
      </c>
      <c r="C45" s="92">
        <f>'C. Min par nature '!D6+'C. Min par nature '!D30+'C. Min par nature '!D46+'C. Min par nature '!D59+'C. Min par nature '!D77+'C. Min par nature '!D94+'C. Min par nature '!D111+'C. Min par nature '!D126+'C. Min par nature '!D142+'C. Min par nature '!D153+'C. Min par nature '!D173+'C. Min par nature '!D185+'C. Min par nature '!D198+'C. Min par nature '!D221+'C. Min par nature '!D244+'C. Min par nature '!D261+'C. Min par nature '!D270</f>
        <v>11596333956.481</v>
      </c>
      <c r="D45" s="92">
        <f>'C. Min par nature '!E6+'C. Min par nature '!E30+'C. Min par nature '!E46+'C. Min par nature '!E59+'C. Min par nature '!E77+'C. Min par nature '!E94+'C. Min par nature '!E111+'C. Min par nature '!E126+'C. Min par nature '!E142+'C. Min par nature '!E153+'C. Min par nature '!E173+'C. Min par nature '!E198+'C. Min par nature '!E221+'C. Min par nature '!E244+'C. Min par nature '!E261+'C. Min par nature '!E270</f>
        <v>11358328915.56</v>
      </c>
      <c r="E45" s="92">
        <f>'C. Min par nature '!F6+'C. Min par nature '!F30+'C. Min par nature '!F46+'C. Min par nature '!F59+'C. Min par nature '!F77+'C. Min par nature '!F94+'C. Min par nature '!F111+'C. Min par nature '!F126+'C. Min par nature '!F142+'C. Min par nature '!F153+'C. Min par nature '!F173+'C. Min par nature '!F185+'C. Min par nature '!F198+'C. Min par nature '!F221+'C. Min par nature '!F244+'C. Min par nature '!F261+'C. Min par nature '!F270</f>
        <v>11637064624.481</v>
      </c>
      <c r="F45" s="92">
        <f>'C. Min par nature '!G6+'C. Min par nature '!G30+'C. Min par nature '!G46+'C. Min par nature '!G59+'C. Min par nature '!G77+'C. Min par nature '!G94+'C. Min par nature '!G111+'C. Min par nature '!G126+'C. Min par nature '!G142+'C. Min par nature '!G153+'C. Min par nature '!G173+'C. Min par nature '!G185+'C. Min par nature '!G198+'C. Min par nature '!G221+'C. Min par nature '!G244+'C. Min par nature '!G261+'C. Min par nature '!G270</f>
        <v>204568708</v>
      </c>
      <c r="G45" s="92">
        <f>E45+F45</f>
        <v>11841633332.481</v>
      </c>
    </row>
    <row r="46" spans="1:7" ht="18.75">
      <c r="A46" s="95">
        <v>6643</v>
      </c>
      <c r="B46" s="561" t="s">
        <v>683</v>
      </c>
      <c r="C46" s="92"/>
      <c r="D46" s="92"/>
      <c r="E46" s="92">
        <f>'C. Min par nature '!F271</f>
        <v>0</v>
      </c>
      <c r="F46" s="92">
        <f>'C. Min par nature '!G271</f>
        <v>0</v>
      </c>
      <c r="G46" s="92">
        <f>E46+F46</f>
        <v>0</v>
      </c>
    </row>
    <row r="47" spans="1:7" ht="18.75">
      <c r="A47" s="95">
        <v>6682</v>
      </c>
      <c r="B47" s="88" t="s">
        <v>262</v>
      </c>
      <c r="C47" s="92">
        <f>'C. Min par nature '!D127+'C. Min par nature '!D272</f>
        <v>171567020</v>
      </c>
      <c r="D47" s="92">
        <f>'C. Min par nature '!E127+'C. Min par nature '!E272</f>
        <v>10092146</v>
      </c>
      <c r="E47" s="92">
        <f>'C. Min par nature '!F127+'C. Min par nature '!F272</f>
        <v>165604618</v>
      </c>
      <c r="F47" s="92">
        <f>'C. Min par nature '!G127+'C. Min par nature '!G272</f>
        <v>-152197066</v>
      </c>
      <c r="G47" s="92">
        <f>E47+F47</f>
        <v>13407552</v>
      </c>
    </row>
    <row r="48" spans="1:7" ht="18.75">
      <c r="A48" s="86">
        <v>6683</v>
      </c>
      <c r="B48" s="88" t="s">
        <v>327</v>
      </c>
      <c r="C48" s="92">
        <f>'C. Min par nature '!D273</f>
        <v>108099024</v>
      </c>
      <c r="D48" s="92">
        <f>'C. Min par nature '!E273</f>
        <v>26589350</v>
      </c>
      <c r="E48" s="92">
        <f>'C. Min par nature '!F273</f>
        <v>108099024</v>
      </c>
      <c r="F48" s="92">
        <f>'C. Min par nature '!G273</f>
        <v>-70371642</v>
      </c>
      <c r="G48" s="92">
        <f>E48+F48</f>
        <v>37727382</v>
      </c>
    </row>
    <row r="49" spans="1:7" ht="18.75">
      <c r="A49" s="163" t="s">
        <v>341</v>
      </c>
      <c r="B49" s="84"/>
      <c r="C49" s="66">
        <f>SUM(C45:C48)</f>
        <v>11876000000.481</v>
      </c>
      <c r="D49" s="66">
        <f>SUM(D45:D48)</f>
        <v>11395010411.56</v>
      </c>
      <c r="E49" s="66">
        <f>SUM(E45:E48)</f>
        <v>11910768266.481</v>
      </c>
      <c r="F49" s="66">
        <f>SUM(F45:F48)</f>
        <v>-18000000</v>
      </c>
      <c r="G49" s="66">
        <f>SUM(G45:G48)</f>
        <v>11892768266.481</v>
      </c>
    </row>
    <row r="50" spans="1:7" ht="18.75">
      <c r="A50" s="95">
        <v>60100</v>
      </c>
      <c r="B50" s="57" t="s">
        <v>7</v>
      </c>
      <c r="C50" s="92">
        <f>'C. Min par nature '!D10+'C. Min par nature '!D32+'C. Min par nature '!D50+'C. Min par nature '!D61+'C. Min par nature '!D79+'C. Min par nature '!D96+'C. Min par nature '!D113+'C. Min par nature '!D129+'C. Min par nature '!D144+'C. Min par nature '!D155+'C. Min par nature '!D175+'C. Min par nature '!D200+'C. Min par nature '!D223+'C. Min par nature '!D246+'C. Min par nature '!D247+'C. Min par nature '!D263</f>
        <v>139090137.962</v>
      </c>
      <c r="D50" s="92">
        <f>'C. Min par nature '!E10+'C. Min par nature '!E32+'C. Min par nature '!E50+'C. Min par nature '!E61+'C. Min par nature '!E79+'C. Min par nature '!E96+'C. Min par nature '!E113+'C. Min par nature '!E129+'C. Min par nature '!E144+'C. Min par nature '!E155+'C. Min par nature '!E175+'C. Min par nature '!E200+'C. Min par nature '!E223+'C. Min par nature '!E246+'C. Min par nature '!E247+'C. Min par nature '!E263</f>
        <v>66069135</v>
      </c>
      <c r="E50" s="92">
        <f>'C. Min par nature '!F10+'C. Min par nature '!F32+'C. Min par nature '!F50+'C. Min par nature '!F61+'C. Min par nature '!F79+'C. Min par nature '!F96+'C. Min par nature '!F113+'C. Min par nature '!F129+'C. Min par nature '!F144+'C. Min par nature '!F155+'C. Min par nature '!F175+'C. Min par nature '!F200+'C. Min par nature '!F223+'C. Min par nature '!F246+'C. Min par nature '!F247+'C. Min par nature '!F263</f>
        <v>139090137.962</v>
      </c>
      <c r="F50" s="92">
        <f>'C. Min par nature '!G10+'C. Min par nature '!G32+'C. Min par nature '!G50+'C. Min par nature '!G61+'C. Min par nature '!G79+'C. Min par nature '!G96+'C. Min par nature '!G113+'C. Min par nature '!G129+'C. Min par nature '!G144+'C. Min par nature '!G155+'C. Min par nature '!G175+'C. Min par nature '!G200+'C. Min par nature '!G223+'C. Min par nature '!G246+'C. Min par nature '!G247+'C. Min par nature '!G263</f>
        <v>0</v>
      </c>
      <c r="G50" s="92">
        <f>E50+F50</f>
        <v>139090137.962</v>
      </c>
    </row>
    <row r="51" spans="1:7" ht="18.75">
      <c r="A51" s="95">
        <v>60101</v>
      </c>
      <c r="B51" s="57" t="s">
        <v>336</v>
      </c>
      <c r="C51" s="92">
        <f>'C. Min par nature '!D11+'C. Min par nature '!D33+'C. Min par nature '!D51+'C. Min par nature '!D62+'C. Min par nature '!D97+'C. Min par nature '!D156+'C. Min par nature '!D176+'C. Min par nature '!D201+'C. Min par nature '!D224</f>
        <v>23464124</v>
      </c>
      <c r="D51" s="92">
        <f>'C. Min par nature '!E11+'C. Min par nature '!E33+'C. Min par nature '!E51+'C. Min par nature '!E62+'C. Min par nature '!E97+'C. Min par nature '!E156+'C. Min par nature '!E176+'C. Min par nature '!E201+'C. Min par nature '!E224</f>
        <v>13877500</v>
      </c>
      <c r="E51" s="92">
        <f>'C. Min par nature '!F11+'C. Min par nature '!F33+'C. Min par nature '!F51+'C. Min par nature '!F62+'C. Min par nature '!F97+'C. Min par nature '!F156+'C. Min par nature '!F176+'C. Min par nature '!F201+'C. Min par nature '!F224</f>
        <v>23464124</v>
      </c>
      <c r="F51" s="92">
        <f>'C. Min par nature '!G11+'C. Min par nature '!G33+'C. Min par nature '!G51+'C. Min par nature '!G62+'C. Min par nature '!G97+'C. Min par nature '!G156+'C. Min par nature '!G176+'C. Min par nature '!G201+'C. Min par nature '!G224</f>
        <v>0</v>
      </c>
      <c r="G51" s="92">
        <f aca="true" t="shared" si="2" ref="G51:G75">E51+F51</f>
        <v>23464124</v>
      </c>
    </row>
    <row r="52" spans="1:7" ht="18.75">
      <c r="A52" s="95" t="s">
        <v>644</v>
      </c>
      <c r="B52" s="57" t="s">
        <v>174</v>
      </c>
      <c r="C52" s="92">
        <f>'C. Min par nature '!D275</f>
        <v>0</v>
      </c>
      <c r="D52" s="92">
        <f>'C. Min par nature '!E275</f>
        <v>0</v>
      </c>
      <c r="E52" s="92">
        <f>'C. Min par nature '!F275</f>
        <v>0</v>
      </c>
      <c r="F52" s="92">
        <f>'C. Min par nature '!G275</f>
        <v>0</v>
      </c>
      <c r="G52" s="92">
        <f t="shared" si="2"/>
        <v>0</v>
      </c>
    </row>
    <row r="53" spans="1:7" ht="18.75">
      <c r="A53" s="95">
        <v>6021</v>
      </c>
      <c r="B53" s="57" t="s">
        <v>298</v>
      </c>
      <c r="C53" s="92">
        <f>'C. Min par nature '!D98+'C. Min par nature '!D160</f>
        <v>60470000</v>
      </c>
      <c r="D53" s="92">
        <f>'C. Min par nature '!E98+'C. Min par nature '!E160</f>
        <v>45000000</v>
      </c>
      <c r="E53" s="92">
        <f>'C. Min par nature '!F98+'C. Min par nature '!F160</f>
        <v>60470000</v>
      </c>
      <c r="F53" s="92">
        <f>'C. Min par nature '!G98+'C. Min par nature '!G160</f>
        <v>0</v>
      </c>
      <c r="G53" s="92">
        <f t="shared" si="2"/>
        <v>60470000</v>
      </c>
    </row>
    <row r="54" spans="1:7" ht="18.75">
      <c r="A54" s="95">
        <v>6018</v>
      </c>
      <c r="B54" s="57" t="s">
        <v>215</v>
      </c>
      <c r="C54" s="92">
        <f>'C. Min par nature '!D130</f>
        <v>3500000</v>
      </c>
      <c r="D54" s="92">
        <f>'C. Min par nature '!E130</f>
        <v>875000</v>
      </c>
      <c r="E54" s="92">
        <f>'C. Min par nature '!F130</f>
        <v>3500000</v>
      </c>
      <c r="F54" s="92">
        <f>'C. Min par nature '!G130</f>
        <v>0</v>
      </c>
      <c r="G54" s="92">
        <f t="shared" si="2"/>
        <v>3500000</v>
      </c>
    </row>
    <row r="55" spans="1:7" ht="18.75">
      <c r="A55" s="95">
        <v>6580</v>
      </c>
      <c r="B55" s="57" t="s">
        <v>175</v>
      </c>
      <c r="C55" s="92">
        <f>'C. Min par nature '!D288</f>
        <v>491346752</v>
      </c>
      <c r="D55" s="92">
        <f>'C. Min par nature '!E288</f>
        <v>455664316</v>
      </c>
      <c r="E55" s="92">
        <f>'C. Min par nature '!F288</f>
        <v>461346752</v>
      </c>
      <c r="F55" s="92">
        <f>'C. Min par nature '!G288</f>
        <v>0</v>
      </c>
      <c r="G55" s="92">
        <f t="shared" si="2"/>
        <v>461346752</v>
      </c>
    </row>
    <row r="56" spans="1:7" ht="18.75">
      <c r="A56" s="95">
        <v>6041</v>
      </c>
      <c r="B56" s="57" t="s">
        <v>170</v>
      </c>
      <c r="C56" s="92">
        <f>'C. Min par nature '!D8+'C. Min par nature '!D48+'C. Min par nature '!D276</f>
        <v>618596000</v>
      </c>
      <c r="D56" s="92">
        <f>'C. Min par nature '!E8+'C. Min par nature '!E48+'C. Min par nature '!E276</f>
        <v>531452550</v>
      </c>
      <c r="E56" s="92">
        <f>'C. Min par nature '!F8+'C. Min par nature '!F48+'C. Min par nature '!F276</f>
        <v>618596000</v>
      </c>
      <c r="F56" s="92">
        <f>'C. Min par nature '!G8+'C. Min par nature '!G48+'C. Min par nature '!G276</f>
        <v>0</v>
      </c>
      <c r="G56" s="92">
        <f t="shared" si="2"/>
        <v>618596000</v>
      </c>
    </row>
    <row r="57" spans="1:7" ht="18.75">
      <c r="A57" s="95" t="s">
        <v>610</v>
      </c>
      <c r="B57" s="57" t="s">
        <v>601</v>
      </c>
      <c r="C57" s="92">
        <f>'C. Min par nature '!D279</f>
        <v>100000000</v>
      </c>
      <c r="D57" s="92">
        <f>'C. Min par nature '!E279</f>
        <v>0</v>
      </c>
      <c r="E57" s="92">
        <f>'C. Min par nature '!F279</f>
        <v>100000000</v>
      </c>
      <c r="F57" s="92">
        <f>'C. Min par nature '!G279</f>
        <v>-20000000</v>
      </c>
      <c r="G57" s="92">
        <f t="shared" si="2"/>
        <v>80000000</v>
      </c>
    </row>
    <row r="58" spans="1:7" ht="18.75">
      <c r="A58" s="95">
        <v>6052</v>
      </c>
      <c r="B58" s="57" t="s">
        <v>598</v>
      </c>
      <c r="C58" s="92">
        <f>'C. Min par nature '!D9+'C. Min par nature '!D49+'C. Min par nature '!D250+'C. Min par nature '!D280</f>
        <v>302310000</v>
      </c>
      <c r="D58" s="92">
        <f>'C. Min par nature '!E9+'C. Min par nature '!E49+'C. Min par nature '!E250+'C. Min par nature '!E280</f>
        <v>1100000</v>
      </c>
      <c r="E58" s="92">
        <f>'C. Min par nature '!F9+'C. Min par nature '!F49+'C. Min par nature '!F250+'C. Min par nature '!F280</f>
        <v>302310000</v>
      </c>
      <c r="F58" s="92">
        <f>'C. Min par nature '!G9+'C. Min par nature '!G49+'C. Min par nature '!G250+'C. Min par nature '!G280</f>
        <v>0</v>
      </c>
      <c r="G58" s="92">
        <f t="shared" si="2"/>
        <v>302310000</v>
      </c>
    </row>
    <row r="59" spans="1:7" ht="18.75">
      <c r="A59" s="95">
        <v>6111</v>
      </c>
      <c r="B59" s="57" t="s">
        <v>11</v>
      </c>
      <c r="C59" s="92">
        <f>'C. Min par nature '!D12+'C. Min par nature '!D34+'C. Min par nature '!D265+'C. Min par nature '!D283</f>
        <v>912000000</v>
      </c>
      <c r="D59" s="92">
        <f>'C. Min par nature '!E12+'C. Min par nature '!E34+'C. Min par nature '!E265+'C. Min par nature '!E283</f>
        <v>1178742833</v>
      </c>
      <c r="E59" s="92">
        <f>'C. Min par nature '!F12+'C. Min par nature '!F34+'C. Min par nature '!F265+'C. Min par nature '!F283</f>
        <v>1292227160</v>
      </c>
      <c r="F59" s="92">
        <f>'C. Min par nature '!G12+'C. Min par nature '!G34+'C. Min par nature '!G265+'C. Min par nature '!G283</f>
        <v>0</v>
      </c>
      <c r="G59" s="92">
        <f t="shared" si="2"/>
        <v>1292227160</v>
      </c>
    </row>
    <row r="60" spans="1:7" ht="18.75">
      <c r="A60" s="95">
        <v>6112</v>
      </c>
      <c r="B60" s="57" t="s">
        <v>236</v>
      </c>
      <c r="C60" s="92">
        <f>'C. Min par nature '!D13+'C. Min par nature '!D35+'C. Min par nature '!D63+'C. Min par nature '!D131+'C. Min par nature '!D202+'C. Min par nature '!D284</f>
        <v>190474703.176</v>
      </c>
      <c r="D60" s="92">
        <f>'C. Min par nature '!E13+'C. Min par nature '!E35+'C. Min par nature '!E63+'C. Min par nature '!E131+'C. Min par nature '!E202+'C. Min par nature '!E284</f>
        <v>219729187</v>
      </c>
      <c r="E60" s="92">
        <f>'C. Min par nature '!F13+'C. Min par nature '!F35+'C. Min par nature '!F63+'C. Min par nature '!F131+'C. Min par nature '!F202+'C. Min par nature '!F284</f>
        <v>190474703.176</v>
      </c>
      <c r="F60" s="92">
        <f>'C. Min par nature '!G13+'C. Min par nature '!G35+'C. Min par nature '!G63+'C. Min par nature '!G131+'C. Min par nature '!G202+'C. Min par nature '!G284</f>
        <v>35000000</v>
      </c>
      <c r="G60" s="92">
        <f t="shared" si="2"/>
        <v>225474703.176</v>
      </c>
    </row>
    <row r="61" spans="1:7" ht="18.75">
      <c r="A61" s="95">
        <v>6122</v>
      </c>
      <c r="B61" s="57" t="s">
        <v>582</v>
      </c>
      <c r="C61" s="92">
        <f>'C. Min par nature '!D14+'C. Min par nature '!D36+'C. Min par nature '!D52+'C. Min par nature '!D64+'C. Min par nature '!D80+'C. Min par nature '!D99+'C. Min par nature '!D114+'C. Min par nature '!D132+'C. Min par nature '!D145+'C. Min par nature '!D157+'C. Min par nature '!D177+'C. Min par nature '!D203+'C. Min par nature '!D225+'C. Min par nature '!D248+'C. Min par nature '!D264</f>
        <v>90209114.3</v>
      </c>
      <c r="D61" s="92">
        <f>'C. Min par nature '!E14+'C. Min par nature '!E36+'C. Min par nature '!E52+'C. Min par nature '!E64+'C. Min par nature '!E80+'C. Min par nature '!E99+'C. Min par nature '!E114+'C. Min par nature '!E132+'C. Min par nature '!E145+'C. Min par nature '!E157+'C. Min par nature '!E177+'C. Min par nature '!E203+'C. Min par nature '!E225+'C. Min par nature '!E248+'C. Min par nature '!E264</f>
        <v>46682672</v>
      </c>
      <c r="E61" s="92">
        <f>'C. Min par nature '!F14+'C. Min par nature '!F36+'C. Min par nature '!F52+'C. Min par nature '!F64+'C. Min par nature '!F80+'C. Min par nature '!F99+'C. Min par nature '!F114+'C. Min par nature '!F132+'C. Min par nature '!F145+'C. Min par nature '!F157+'C. Min par nature '!F177+'C. Min par nature '!F203+'C. Min par nature '!F225+'C. Min par nature '!F248+'C. Min par nature '!F264</f>
        <v>90209114.3</v>
      </c>
      <c r="F61" s="92">
        <f>'C. Min par nature '!G14+'C. Min par nature '!G36+'C. Min par nature '!G52+'C. Min par nature '!G64+'C. Min par nature '!G80+'C. Min par nature '!G99+'C. Min par nature '!G114+'C. Min par nature '!G132+'C. Min par nature '!G145+'C. Min par nature '!G157+'C. Min par nature '!G177+'C. Min par nature '!G203+'C. Min par nature '!G225+'C. Min par nature '!G248+'C. Min par nature '!G264</f>
        <v>0</v>
      </c>
      <c r="G61" s="92">
        <f t="shared" si="2"/>
        <v>90209114.3</v>
      </c>
    </row>
    <row r="62" spans="1:7" ht="18.75">
      <c r="A62" s="95">
        <v>6131</v>
      </c>
      <c r="B62" s="57" t="s">
        <v>342</v>
      </c>
      <c r="C62" s="92"/>
      <c r="D62" s="92"/>
      <c r="G62" s="92">
        <f t="shared" si="2"/>
        <v>0</v>
      </c>
    </row>
    <row r="63" spans="1:256" ht="18.75">
      <c r="A63" s="95">
        <v>61321</v>
      </c>
      <c r="B63" s="57" t="s">
        <v>629</v>
      </c>
      <c r="C63" s="92">
        <f>'C. Min par nature '!D226</f>
        <v>666959880</v>
      </c>
      <c r="D63" s="92">
        <f>'C. Min par nature '!E226</f>
        <v>798414980</v>
      </c>
      <c r="E63" s="92">
        <f>'C. Min par nature '!F226</f>
        <v>666959880</v>
      </c>
      <c r="F63" s="92">
        <f>'C. Min par nature '!G226</f>
        <v>0</v>
      </c>
      <c r="G63" s="92">
        <f t="shared" si="2"/>
        <v>666959880</v>
      </c>
      <c r="H63" s="211"/>
      <c r="I63" s="212"/>
      <c r="J63" s="211"/>
      <c r="K63" s="212"/>
      <c r="L63" s="211"/>
      <c r="M63" s="212"/>
      <c r="N63" s="211"/>
      <c r="O63" s="212"/>
      <c r="P63" s="211"/>
      <c r="Q63" s="212"/>
      <c r="R63" s="211"/>
      <c r="S63" s="212"/>
      <c r="T63" s="211"/>
      <c r="U63" s="212"/>
      <c r="V63" s="211"/>
      <c r="W63" s="212"/>
      <c r="X63" s="211"/>
      <c r="Y63" s="212"/>
      <c r="Z63" s="211"/>
      <c r="AA63" s="212"/>
      <c r="AB63" s="211"/>
      <c r="AC63" s="212"/>
      <c r="AD63" s="211"/>
      <c r="AE63" s="212"/>
      <c r="AF63" s="211"/>
      <c r="AG63" s="212"/>
      <c r="AH63" s="211"/>
      <c r="AI63" s="212"/>
      <c r="AJ63" s="211"/>
      <c r="AK63" s="212"/>
      <c r="AL63" s="211"/>
      <c r="AM63" s="212"/>
      <c r="AN63" s="211"/>
      <c r="AO63" s="212"/>
      <c r="AP63" s="211"/>
      <c r="AQ63" s="212"/>
      <c r="AR63" s="211"/>
      <c r="AS63" s="212"/>
      <c r="AT63" s="211"/>
      <c r="AU63" s="212"/>
      <c r="AV63" s="211"/>
      <c r="AW63" s="212"/>
      <c r="AX63" s="211"/>
      <c r="AY63" s="212"/>
      <c r="AZ63" s="211"/>
      <c r="BA63" s="212"/>
      <c r="BB63" s="211"/>
      <c r="BC63" s="212"/>
      <c r="BD63" s="211"/>
      <c r="BE63" s="212"/>
      <c r="BF63" s="211"/>
      <c r="BG63" s="212"/>
      <c r="BH63" s="211"/>
      <c r="BI63" s="212"/>
      <c r="BJ63" s="211"/>
      <c r="BK63" s="212"/>
      <c r="BL63" s="211"/>
      <c r="BM63" s="212"/>
      <c r="BN63" s="211"/>
      <c r="BO63" s="212"/>
      <c r="BP63" s="211"/>
      <c r="BQ63" s="212"/>
      <c r="BR63" s="211"/>
      <c r="BS63" s="212"/>
      <c r="BT63" s="211"/>
      <c r="BU63" s="212"/>
      <c r="BV63" s="211"/>
      <c r="BW63" s="212"/>
      <c r="BX63" s="211"/>
      <c r="BY63" s="212"/>
      <c r="BZ63" s="211"/>
      <c r="CA63" s="212"/>
      <c r="CB63" s="211"/>
      <c r="CC63" s="212"/>
      <c r="CD63" s="211"/>
      <c r="CE63" s="212"/>
      <c r="CF63" s="211"/>
      <c r="CG63" s="212"/>
      <c r="CH63" s="211"/>
      <c r="CI63" s="212"/>
      <c r="CJ63" s="211"/>
      <c r="CK63" s="212"/>
      <c r="CL63" s="211"/>
      <c r="CM63" s="212"/>
      <c r="CN63" s="211"/>
      <c r="CO63" s="212"/>
      <c r="CP63" s="211"/>
      <c r="CQ63" s="212"/>
      <c r="CR63" s="211"/>
      <c r="CS63" s="212"/>
      <c r="CT63" s="211" t="s">
        <v>629</v>
      </c>
      <c r="CU63" s="212">
        <v>61321</v>
      </c>
      <c r="CV63" s="211" t="s">
        <v>629</v>
      </c>
      <c r="CW63" s="212">
        <v>61321</v>
      </c>
      <c r="CX63" s="211" t="s">
        <v>629</v>
      </c>
      <c r="CY63" s="212">
        <v>61321</v>
      </c>
      <c r="CZ63" s="211" t="s">
        <v>629</v>
      </c>
      <c r="DA63" s="212">
        <v>61321</v>
      </c>
      <c r="DB63" s="211" t="s">
        <v>629</v>
      </c>
      <c r="DC63" s="212">
        <v>61321</v>
      </c>
      <c r="DD63" s="211" t="s">
        <v>629</v>
      </c>
      <c r="DE63" s="212">
        <v>61321</v>
      </c>
      <c r="DF63" s="211" t="s">
        <v>629</v>
      </c>
      <c r="DG63" s="212">
        <v>61321</v>
      </c>
      <c r="DH63" s="211" t="s">
        <v>629</v>
      </c>
      <c r="DI63" s="212">
        <v>61321</v>
      </c>
      <c r="DJ63" s="211" t="s">
        <v>629</v>
      </c>
      <c r="DK63" s="212">
        <v>61321</v>
      </c>
      <c r="DL63" s="211" t="s">
        <v>629</v>
      </c>
      <c r="DM63" s="212">
        <v>61321</v>
      </c>
      <c r="DN63" s="211" t="s">
        <v>629</v>
      </c>
      <c r="DO63" s="212">
        <v>61321</v>
      </c>
      <c r="DP63" s="211" t="s">
        <v>629</v>
      </c>
      <c r="DQ63" s="212">
        <v>61321</v>
      </c>
      <c r="DR63" s="211" t="s">
        <v>629</v>
      </c>
      <c r="DS63" s="212">
        <v>61321</v>
      </c>
      <c r="DT63" s="211" t="s">
        <v>629</v>
      </c>
      <c r="DU63" s="212">
        <v>61321</v>
      </c>
      <c r="DV63" s="211" t="s">
        <v>629</v>
      </c>
      <c r="DW63" s="212">
        <v>61321</v>
      </c>
      <c r="DX63" s="211" t="s">
        <v>629</v>
      </c>
      <c r="DY63" s="212">
        <v>61321</v>
      </c>
      <c r="DZ63" s="211" t="s">
        <v>629</v>
      </c>
      <c r="EA63" s="212">
        <v>61321</v>
      </c>
      <c r="EB63" s="211" t="s">
        <v>629</v>
      </c>
      <c r="EC63" s="212">
        <v>61321</v>
      </c>
      <c r="ED63" s="211" t="s">
        <v>629</v>
      </c>
      <c r="EE63" s="212">
        <v>61321</v>
      </c>
      <c r="EF63" s="211" t="s">
        <v>629</v>
      </c>
      <c r="EG63" s="212">
        <v>61321</v>
      </c>
      <c r="EH63" s="211" t="s">
        <v>629</v>
      </c>
      <c r="EI63" s="212">
        <v>61321</v>
      </c>
      <c r="EJ63" s="211" t="s">
        <v>629</v>
      </c>
      <c r="EK63" s="212">
        <v>61321</v>
      </c>
      <c r="EL63" s="211" t="s">
        <v>629</v>
      </c>
      <c r="EM63" s="212">
        <v>61321</v>
      </c>
      <c r="EN63" s="211" t="s">
        <v>629</v>
      </c>
      <c r="EO63" s="212">
        <v>61321</v>
      </c>
      <c r="EP63" s="211" t="s">
        <v>629</v>
      </c>
      <c r="EQ63" s="212">
        <v>61321</v>
      </c>
      <c r="ER63" s="211" t="s">
        <v>629</v>
      </c>
      <c r="ES63" s="212">
        <v>61321</v>
      </c>
      <c r="ET63" s="211" t="s">
        <v>629</v>
      </c>
      <c r="EU63" s="212">
        <v>61321</v>
      </c>
      <c r="EV63" s="211" t="s">
        <v>629</v>
      </c>
      <c r="EW63" s="212">
        <v>61321</v>
      </c>
      <c r="EX63" s="211" t="s">
        <v>629</v>
      </c>
      <c r="EY63" s="212">
        <v>61321</v>
      </c>
      <c r="EZ63" s="211" t="s">
        <v>629</v>
      </c>
      <c r="FA63" s="212">
        <v>61321</v>
      </c>
      <c r="FB63" s="211" t="s">
        <v>629</v>
      </c>
      <c r="FC63" s="212">
        <v>61321</v>
      </c>
      <c r="FD63" s="211" t="s">
        <v>629</v>
      </c>
      <c r="FE63" s="212">
        <v>61321</v>
      </c>
      <c r="FF63" s="211" t="s">
        <v>629</v>
      </c>
      <c r="FG63" s="212">
        <v>61321</v>
      </c>
      <c r="FH63" s="211" t="s">
        <v>629</v>
      </c>
      <c r="FI63" s="212">
        <v>61321</v>
      </c>
      <c r="FJ63" s="211" t="s">
        <v>629</v>
      </c>
      <c r="FK63" s="212">
        <v>61321</v>
      </c>
      <c r="FL63" s="211" t="s">
        <v>629</v>
      </c>
      <c r="FM63" s="212">
        <v>61321</v>
      </c>
      <c r="FN63" s="211" t="s">
        <v>629</v>
      </c>
      <c r="FO63" s="212">
        <v>61321</v>
      </c>
      <c r="FP63" s="211" t="s">
        <v>629</v>
      </c>
      <c r="FQ63" s="212">
        <v>61321</v>
      </c>
      <c r="FR63" s="211" t="s">
        <v>629</v>
      </c>
      <c r="FS63" s="212">
        <v>61321</v>
      </c>
      <c r="FT63" s="211" t="s">
        <v>629</v>
      </c>
      <c r="FU63" s="212">
        <v>61321</v>
      </c>
      <c r="FV63" s="211" t="s">
        <v>629</v>
      </c>
      <c r="FW63" s="212">
        <v>61321</v>
      </c>
      <c r="FX63" s="211" t="s">
        <v>629</v>
      </c>
      <c r="FY63" s="212">
        <v>61321</v>
      </c>
      <c r="FZ63" s="211" t="s">
        <v>629</v>
      </c>
      <c r="GA63" s="212">
        <v>61321</v>
      </c>
      <c r="GB63" s="211" t="s">
        <v>629</v>
      </c>
      <c r="GC63" s="212">
        <v>61321</v>
      </c>
      <c r="GD63" s="211" t="s">
        <v>629</v>
      </c>
      <c r="GE63" s="212">
        <v>61321</v>
      </c>
      <c r="GF63" s="211" t="s">
        <v>629</v>
      </c>
      <c r="GG63" s="212">
        <v>61321</v>
      </c>
      <c r="GH63" s="211" t="s">
        <v>629</v>
      </c>
      <c r="GI63" s="212">
        <v>61321</v>
      </c>
      <c r="GJ63" s="211" t="s">
        <v>629</v>
      </c>
      <c r="GK63" s="212">
        <v>61321</v>
      </c>
      <c r="GL63" s="211" t="s">
        <v>629</v>
      </c>
      <c r="GM63" s="212">
        <v>61321</v>
      </c>
      <c r="GN63" s="211" t="s">
        <v>629</v>
      </c>
      <c r="GO63" s="212">
        <v>61321</v>
      </c>
      <c r="GP63" s="211" t="s">
        <v>629</v>
      </c>
      <c r="GQ63" s="212">
        <v>61321</v>
      </c>
      <c r="GR63" s="211" t="s">
        <v>629</v>
      </c>
      <c r="GS63" s="212">
        <v>61321</v>
      </c>
      <c r="GT63" s="211" t="s">
        <v>629</v>
      </c>
      <c r="GU63" s="212">
        <v>61321</v>
      </c>
      <c r="GV63" s="211" t="s">
        <v>629</v>
      </c>
      <c r="GW63" s="212">
        <v>61321</v>
      </c>
      <c r="GX63" s="211" t="s">
        <v>629</v>
      </c>
      <c r="GY63" s="212">
        <v>61321</v>
      </c>
      <c r="GZ63" s="211" t="s">
        <v>629</v>
      </c>
      <c r="HA63" s="212">
        <v>61321</v>
      </c>
      <c r="HB63" s="211" t="s">
        <v>629</v>
      </c>
      <c r="HC63" s="212">
        <v>61321</v>
      </c>
      <c r="HD63" s="211" t="s">
        <v>629</v>
      </c>
      <c r="HE63" s="212">
        <v>61321</v>
      </c>
      <c r="HF63" s="211" t="s">
        <v>629</v>
      </c>
      <c r="HG63" s="212">
        <v>61321</v>
      </c>
      <c r="HH63" s="211" t="s">
        <v>629</v>
      </c>
      <c r="HI63" s="212">
        <v>61321</v>
      </c>
      <c r="HJ63" s="211" t="s">
        <v>629</v>
      </c>
      <c r="HK63" s="212">
        <v>61321</v>
      </c>
      <c r="HL63" s="211" t="s">
        <v>629</v>
      </c>
      <c r="HM63" s="212">
        <v>61321</v>
      </c>
      <c r="HN63" s="211" t="s">
        <v>629</v>
      </c>
      <c r="HO63" s="212">
        <v>61321</v>
      </c>
      <c r="HP63" s="211" t="s">
        <v>629</v>
      </c>
      <c r="HQ63" s="212">
        <v>61321</v>
      </c>
      <c r="HR63" s="211" t="s">
        <v>629</v>
      </c>
      <c r="HS63" s="212">
        <v>61321</v>
      </c>
      <c r="HT63" s="211" t="s">
        <v>629</v>
      </c>
      <c r="HU63" s="212">
        <v>61321</v>
      </c>
      <c r="HV63" s="211" t="s">
        <v>629</v>
      </c>
      <c r="HW63" s="212">
        <v>61321</v>
      </c>
      <c r="HX63" s="211" t="s">
        <v>629</v>
      </c>
      <c r="HY63" s="212">
        <v>61321</v>
      </c>
      <c r="HZ63" s="211" t="s">
        <v>629</v>
      </c>
      <c r="IA63" s="212">
        <v>61321</v>
      </c>
      <c r="IB63" s="211" t="s">
        <v>629</v>
      </c>
      <c r="IC63" s="212">
        <v>61321</v>
      </c>
      <c r="ID63" s="211" t="s">
        <v>629</v>
      </c>
      <c r="IE63" s="212">
        <v>61321</v>
      </c>
      <c r="IF63" s="211" t="s">
        <v>629</v>
      </c>
      <c r="IG63" s="212">
        <v>61321</v>
      </c>
      <c r="IH63" s="211" t="s">
        <v>629</v>
      </c>
      <c r="II63" s="212">
        <v>61321</v>
      </c>
      <c r="IJ63" s="211" t="s">
        <v>629</v>
      </c>
      <c r="IK63" s="212">
        <v>61321</v>
      </c>
      <c r="IL63" s="211" t="s">
        <v>629</v>
      </c>
      <c r="IM63" s="212">
        <v>61321</v>
      </c>
      <c r="IN63" s="211" t="s">
        <v>629</v>
      </c>
      <c r="IO63" s="212">
        <v>61321</v>
      </c>
      <c r="IP63" s="211" t="s">
        <v>629</v>
      </c>
      <c r="IQ63" s="212">
        <v>61321</v>
      </c>
      <c r="IR63" s="211" t="s">
        <v>629</v>
      </c>
      <c r="IS63" s="212">
        <v>61321</v>
      </c>
      <c r="IT63" s="211" t="s">
        <v>629</v>
      </c>
      <c r="IU63" s="212">
        <v>61321</v>
      </c>
      <c r="IV63" s="211" t="s">
        <v>629</v>
      </c>
    </row>
    <row r="64" spans="1:256" ht="18.75">
      <c r="A64" s="95">
        <v>61322</v>
      </c>
      <c r="B64" s="57" t="s">
        <v>643</v>
      </c>
      <c r="C64" s="92">
        <f>'C. Min par nature '!D227</f>
        <v>688648300</v>
      </c>
      <c r="D64" s="92">
        <f>'C. Min par nature '!E227</f>
        <v>52123983</v>
      </c>
      <c r="E64" s="92">
        <f>'C. Min par nature '!F227</f>
        <v>688648300</v>
      </c>
      <c r="F64" s="92">
        <f>'C. Min par nature '!G227</f>
        <v>0</v>
      </c>
      <c r="G64" s="92">
        <f t="shared" si="2"/>
        <v>688648300</v>
      </c>
      <c r="H64" s="213"/>
      <c r="I64" s="197"/>
      <c r="J64" s="213"/>
      <c r="K64" s="197"/>
      <c r="L64" s="213"/>
      <c r="M64" s="197"/>
      <c r="N64" s="213"/>
      <c r="O64" s="197"/>
      <c r="P64" s="213"/>
      <c r="Q64" s="197"/>
      <c r="R64" s="213"/>
      <c r="S64" s="197"/>
      <c r="T64" s="213"/>
      <c r="U64" s="197"/>
      <c r="V64" s="213"/>
      <c r="W64" s="197"/>
      <c r="X64" s="213"/>
      <c r="Y64" s="197"/>
      <c r="Z64" s="213"/>
      <c r="AA64" s="197"/>
      <c r="AB64" s="213"/>
      <c r="AC64" s="197"/>
      <c r="AD64" s="213"/>
      <c r="AE64" s="197"/>
      <c r="AF64" s="213"/>
      <c r="AG64" s="197"/>
      <c r="AH64" s="213"/>
      <c r="AI64" s="197"/>
      <c r="AJ64" s="213"/>
      <c r="AK64" s="197"/>
      <c r="AL64" s="213"/>
      <c r="AM64" s="197"/>
      <c r="AN64" s="213"/>
      <c r="AO64" s="197"/>
      <c r="AP64" s="213"/>
      <c r="AQ64" s="197"/>
      <c r="AR64" s="213"/>
      <c r="AS64" s="197"/>
      <c r="AT64" s="213"/>
      <c r="AU64" s="197"/>
      <c r="AV64" s="213"/>
      <c r="AW64" s="197"/>
      <c r="AX64" s="213"/>
      <c r="AY64" s="197"/>
      <c r="AZ64" s="213"/>
      <c r="BA64" s="197"/>
      <c r="BB64" s="213"/>
      <c r="BC64" s="197"/>
      <c r="BD64" s="213"/>
      <c r="BE64" s="197"/>
      <c r="BF64" s="213"/>
      <c r="BG64" s="197"/>
      <c r="BH64" s="213"/>
      <c r="BI64" s="197"/>
      <c r="BJ64" s="213"/>
      <c r="BK64" s="197"/>
      <c r="BL64" s="213"/>
      <c r="BM64" s="197"/>
      <c r="BN64" s="213"/>
      <c r="BO64" s="197"/>
      <c r="BP64" s="213"/>
      <c r="BQ64" s="197"/>
      <c r="BR64" s="213"/>
      <c r="BS64" s="197"/>
      <c r="BT64" s="213"/>
      <c r="BU64" s="197"/>
      <c r="BV64" s="213"/>
      <c r="BW64" s="197"/>
      <c r="BX64" s="213"/>
      <c r="BY64" s="197"/>
      <c r="BZ64" s="213"/>
      <c r="CA64" s="197"/>
      <c r="CB64" s="213"/>
      <c r="CC64" s="197"/>
      <c r="CD64" s="213"/>
      <c r="CE64" s="197"/>
      <c r="CF64" s="213"/>
      <c r="CG64" s="197"/>
      <c r="CH64" s="213"/>
      <c r="CI64" s="197"/>
      <c r="CJ64" s="213"/>
      <c r="CK64" s="197"/>
      <c r="CL64" s="213"/>
      <c r="CM64" s="197"/>
      <c r="CN64" s="213"/>
      <c r="CO64" s="197"/>
      <c r="CP64" s="213"/>
      <c r="CQ64" s="197"/>
      <c r="CR64" s="213"/>
      <c r="CS64" s="197"/>
      <c r="CT64" s="213"/>
      <c r="CU64" s="197"/>
      <c r="CV64" s="213"/>
      <c r="CW64" s="197"/>
      <c r="CX64" s="213"/>
      <c r="CY64" s="197"/>
      <c r="CZ64" s="213"/>
      <c r="DA64" s="197"/>
      <c r="DB64" s="213"/>
      <c r="DC64" s="197"/>
      <c r="DD64" s="213"/>
      <c r="DE64" s="197"/>
      <c r="DF64" s="213"/>
      <c r="DG64" s="197"/>
      <c r="DH64" s="213"/>
      <c r="DI64" s="197"/>
      <c r="DJ64" s="213"/>
      <c r="DK64" s="197"/>
      <c r="DL64" s="213"/>
      <c r="DM64" s="197"/>
      <c r="DN64" s="213"/>
      <c r="DO64" s="197"/>
      <c r="DP64" s="213"/>
      <c r="DQ64" s="197"/>
      <c r="DR64" s="213"/>
      <c r="DS64" s="197"/>
      <c r="DT64" s="213"/>
      <c r="DU64" s="197"/>
      <c r="DV64" s="213"/>
      <c r="DW64" s="197"/>
      <c r="DX64" s="213"/>
      <c r="DY64" s="197"/>
      <c r="DZ64" s="213"/>
      <c r="EA64" s="197"/>
      <c r="EB64" s="213"/>
      <c r="EC64" s="197"/>
      <c r="ED64" s="213"/>
      <c r="EE64" s="197"/>
      <c r="EF64" s="213"/>
      <c r="EG64" s="197"/>
      <c r="EH64" s="213"/>
      <c r="EI64" s="197"/>
      <c r="EJ64" s="213"/>
      <c r="EK64" s="197"/>
      <c r="EL64" s="213"/>
      <c r="EM64" s="197"/>
      <c r="EN64" s="213"/>
      <c r="EO64" s="197"/>
      <c r="EP64" s="213"/>
      <c r="EQ64" s="197"/>
      <c r="ER64" s="213"/>
      <c r="ES64" s="197"/>
      <c r="ET64" s="213"/>
      <c r="EU64" s="197"/>
      <c r="EV64" s="213"/>
      <c r="EW64" s="197"/>
      <c r="EX64" s="213"/>
      <c r="EY64" s="197"/>
      <c r="EZ64" s="213"/>
      <c r="FA64" s="197"/>
      <c r="FB64" s="213"/>
      <c r="FC64" s="197"/>
      <c r="FD64" s="213"/>
      <c r="FE64" s="197"/>
      <c r="FF64" s="213"/>
      <c r="FG64" s="197"/>
      <c r="FH64" s="213"/>
      <c r="FI64" s="197"/>
      <c r="FJ64" s="213"/>
      <c r="FK64" s="197"/>
      <c r="FL64" s="213"/>
      <c r="FM64" s="197"/>
      <c r="FN64" s="213"/>
      <c r="FO64" s="197"/>
      <c r="FP64" s="213"/>
      <c r="FQ64" s="197"/>
      <c r="FR64" s="213"/>
      <c r="FS64" s="197"/>
      <c r="FT64" s="213"/>
      <c r="FU64" s="197"/>
      <c r="FV64" s="213"/>
      <c r="FW64" s="197"/>
      <c r="FX64" s="213"/>
      <c r="FY64" s="197"/>
      <c r="FZ64" s="213"/>
      <c r="GA64" s="197"/>
      <c r="GB64" s="213"/>
      <c r="GC64" s="197"/>
      <c r="GD64" s="213"/>
      <c r="GE64" s="197"/>
      <c r="GF64" s="213"/>
      <c r="GG64" s="197"/>
      <c r="GH64" s="213"/>
      <c r="GI64" s="197"/>
      <c r="GJ64" s="213"/>
      <c r="GK64" s="197"/>
      <c r="GL64" s="213"/>
      <c r="GM64" s="197"/>
      <c r="GN64" s="213"/>
      <c r="GO64" s="197"/>
      <c r="GP64" s="213"/>
      <c r="GQ64" s="197"/>
      <c r="GR64" s="213"/>
      <c r="GS64" s="197"/>
      <c r="GT64" s="213"/>
      <c r="GU64" s="197"/>
      <c r="GV64" s="213"/>
      <c r="GW64" s="197"/>
      <c r="GX64" s="213"/>
      <c r="GY64" s="197"/>
      <c r="GZ64" s="213"/>
      <c r="HA64" s="197"/>
      <c r="HB64" s="213"/>
      <c r="HC64" s="197"/>
      <c r="HD64" s="213"/>
      <c r="HE64" s="197"/>
      <c r="HF64" s="213"/>
      <c r="HG64" s="197"/>
      <c r="HH64" s="213"/>
      <c r="HI64" s="197"/>
      <c r="HJ64" s="213"/>
      <c r="HK64" s="197"/>
      <c r="HL64" s="213"/>
      <c r="HM64" s="197"/>
      <c r="HN64" s="213"/>
      <c r="HO64" s="197"/>
      <c r="HP64" s="213"/>
      <c r="HQ64" s="197"/>
      <c r="HR64" s="213"/>
      <c r="HS64" s="197"/>
      <c r="HT64" s="213"/>
      <c r="HU64" s="197"/>
      <c r="HV64" s="213"/>
      <c r="HW64" s="197"/>
      <c r="HX64" s="213"/>
      <c r="HY64" s="197"/>
      <c r="HZ64" s="213"/>
      <c r="IA64" s="197"/>
      <c r="IB64" s="213"/>
      <c r="IC64" s="197"/>
      <c r="ID64" s="213"/>
      <c r="IE64" s="197"/>
      <c r="IF64" s="213"/>
      <c r="IG64" s="197"/>
      <c r="IH64" s="213"/>
      <c r="II64" s="197"/>
      <c r="IJ64" s="213"/>
      <c r="IK64" s="197"/>
      <c r="IL64" s="213"/>
      <c r="IM64" s="197"/>
      <c r="IN64" s="213"/>
      <c r="IO64" s="197"/>
      <c r="IP64" s="213"/>
      <c r="IQ64" s="197"/>
      <c r="IR64" s="213"/>
      <c r="IS64" s="197"/>
      <c r="IT64" s="213"/>
      <c r="IU64" s="197"/>
      <c r="IV64" s="213"/>
    </row>
    <row r="65" spans="1:7" ht="18.75">
      <c r="A65" s="95">
        <v>6133</v>
      </c>
      <c r="B65" s="57" t="s">
        <v>30</v>
      </c>
      <c r="C65" s="92">
        <f>'C. Min par nature '!D15+'C. Min par nature '!D37+'C. Min par nature '!D65+'C. Min par nature '!D100+'C. Min par nature '!D146+'C. Min par nature '!D204+'C. Min par nature '!D249</f>
        <v>56116717</v>
      </c>
      <c r="D65" s="92">
        <f>'C. Min par nature '!E15+'C. Min par nature '!E37+'C. Min par nature '!E65+'C. Min par nature '!E100+'C. Min par nature '!E146+'C. Min par nature '!E204+'C. Min par nature '!E249</f>
        <v>42574700</v>
      </c>
      <c r="E65" s="92">
        <f>'C. Min par nature '!F15+'C. Min par nature '!F37+'C. Min par nature '!F65+'C. Min par nature '!F100+'C. Min par nature '!F146+'C. Min par nature '!F204+'C. Min par nature '!F249</f>
        <v>56116717</v>
      </c>
      <c r="F65" s="92">
        <f>'C. Min par nature '!G15+'C. Min par nature '!G37+'C. Min par nature '!G65+'C. Min par nature '!G100+'C. Min par nature '!G146+'C. Min par nature '!G204+'C. Min par nature '!G249</f>
        <v>0</v>
      </c>
      <c r="G65" s="92">
        <f t="shared" si="2"/>
        <v>56116717</v>
      </c>
    </row>
    <row r="66" spans="1:7" ht="18.75">
      <c r="A66" s="95">
        <v>6135</v>
      </c>
      <c r="B66" s="63" t="s">
        <v>171</v>
      </c>
      <c r="C66" s="92">
        <f>'C. Min par nature '!D277</f>
        <v>234410000</v>
      </c>
      <c r="D66" s="92">
        <f>'C. Min par nature '!E277</f>
        <v>224109328</v>
      </c>
      <c r="E66" s="92">
        <f>'C. Min par nature '!F277</f>
        <v>234410000</v>
      </c>
      <c r="F66" s="92">
        <f>'C. Min par nature '!G277</f>
        <v>0</v>
      </c>
      <c r="G66" s="92">
        <f t="shared" si="2"/>
        <v>234410000</v>
      </c>
    </row>
    <row r="67" spans="1:7" ht="18.75">
      <c r="A67" s="86">
        <v>6138</v>
      </c>
      <c r="B67" s="57" t="s">
        <v>177</v>
      </c>
      <c r="C67" s="92">
        <f>'C. Min par nature '!D278</f>
        <v>562000000</v>
      </c>
      <c r="D67" s="92">
        <f>'C. Min par nature '!E278</f>
        <v>848235826</v>
      </c>
      <c r="E67" s="92">
        <f>'C. Min par nature '!F278</f>
        <v>576646788</v>
      </c>
      <c r="F67" s="92">
        <f>'C. Min par nature '!G278</f>
        <v>400000000</v>
      </c>
      <c r="G67" s="92">
        <f t="shared" si="2"/>
        <v>976646788</v>
      </c>
    </row>
    <row r="68" spans="1:7" ht="18.75">
      <c r="A68" s="86">
        <v>6143</v>
      </c>
      <c r="B68" s="57" t="s">
        <v>292</v>
      </c>
      <c r="C68" s="92">
        <f>'C. Min par nature '!D115</f>
        <v>1000000</v>
      </c>
      <c r="D68" s="92">
        <f>'C. Min par nature '!E115</f>
        <v>0</v>
      </c>
      <c r="E68" s="92">
        <f>'C. Min par nature '!F115</f>
        <v>1000000</v>
      </c>
      <c r="F68" s="92">
        <f>'C. Min par nature '!G115</f>
        <v>0</v>
      </c>
      <c r="G68" s="92">
        <f t="shared" si="2"/>
        <v>1000000</v>
      </c>
    </row>
    <row r="69" spans="1:7" ht="18.75">
      <c r="A69" s="95">
        <v>6152</v>
      </c>
      <c r="B69" s="88" t="s">
        <v>337</v>
      </c>
      <c r="C69" s="92">
        <f>'C. Min par nature '!D16+'C. Min par nature '!D281</f>
        <v>127500000</v>
      </c>
      <c r="D69" s="92">
        <f>'C. Min par nature '!E16+'C. Min par nature '!E281</f>
        <v>6800401502</v>
      </c>
      <c r="E69" s="92">
        <f>'C. Min par nature '!F16+'C. Min par nature '!F281</f>
        <v>1007500000</v>
      </c>
      <c r="F69" s="92">
        <f>'C. Min par nature '!G16+'C. Min par nature '!G281</f>
        <v>5792901502</v>
      </c>
      <c r="G69" s="92">
        <f t="shared" si="2"/>
        <v>6800401502</v>
      </c>
    </row>
    <row r="70" spans="1:7" ht="18.75">
      <c r="A70" s="95">
        <v>6161</v>
      </c>
      <c r="B70" s="63" t="s">
        <v>338</v>
      </c>
      <c r="C70" s="92">
        <f>'C. Min par nature '!D17+'C. Min par nature '!D38+'C. Min par nature '!D53+'C. Min par nature '!D282</f>
        <v>384924932.55999994</v>
      </c>
      <c r="D70" s="92">
        <f>'C. Min par nature '!E17+'C. Min par nature '!E38+'C. Min par nature '!E53+'C. Min par nature '!E282</f>
        <v>372670462</v>
      </c>
      <c r="E70" s="92">
        <f>'C. Min par nature '!F17+'C. Min par nature '!F38+'C. Min par nature '!F53+'C. Min par nature '!F282</f>
        <v>384924932.55999994</v>
      </c>
      <c r="F70" s="92">
        <f>'C. Min par nature '!G17+'C. Min par nature '!G38+'C. Min par nature '!G53+'C. Min par nature '!G282</f>
        <v>30000000</v>
      </c>
      <c r="G70" s="92">
        <f t="shared" si="2"/>
        <v>414924932.55999994</v>
      </c>
    </row>
    <row r="71" spans="1:7" ht="18.75">
      <c r="A71" s="95">
        <v>6171</v>
      </c>
      <c r="B71" s="63" t="s">
        <v>173</v>
      </c>
      <c r="C71" s="92">
        <f>'C. Min par nature '!D66+'C. Min par nature '!D285</f>
        <v>210417219</v>
      </c>
      <c r="D71" s="92">
        <f>'C. Min par nature '!E66+'C. Min par nature '!E285</f>
        <v>109240000</v>
      </c>
      <c r="E71" s="92">
        <f>'C. Min par nature '!F66+'C. Min par nature '!F285</f>
        <v>210417219</v>
      </c>
      <c r="F71" s="92">
        <f>'C. Min par nature '!G66+'C. Min par nature '!G285</f>
        <v>0</v>
      </c>
      <c r="G71" s="92">
        <f t="shared" si="2"/>
        <v>210417219</v>
      </c>
    </row>
    <row r="72" spans="1:7" ht="18.75">
      <c r="A72" s="95">
        <v>6172</v>
      </c>
      <c r="B72" s="63" t="s">
        <v>343</v>
      </c>
      <c r="C72" s="92">
        <f>'C. Min par nature '!D228</f>
        <v>0</v>
      </c>
      <c r="D72" s="92">
        <f>'C. Min par nature '!E228</f>
        <v>0</v>
      </c>
      <c r="E72" s="92">
        <f>'C. Min par nature '!F228</f>
        <v>0</v>
      </c>
      <c r="F72" s="92">
        <f>'C. Min par nature '!G228</f>
        <v>0</v>
      </c>
      <c r="G72" s="92">
        <f t="shared" si="2"/>
        <v>0</v>
      </c>
    </row>
    <row r="73" spans="1:7" ht="18.75">
      <c r="A73" s="95">
        <v>6173</v>
      </c>
      <c r="B73" s="88" t="s">
        <v>19</v>
      </c>
      <c r="C73" s="92">
        <f>'C. Min par nature '!D19+'C. Min par nature '!D40+'C. Min par nature '!D54+'C. Min par nature '!D67+'C. Min par nature '!D81+'C. Min par nature '!D101+'C. Min par nature '!D116+'C. Min par nature '!D133+'C. Min par nature '!D158+'C. Min par nature '!D178+'C. Min par nature '!D205+'C. Min par nature '!D229+'C. Min par nature '!D251+'C. Min par nature '!D286</f>
        <v>886801906.16</v>
      </c>
      <c r="D73" s="92">
        <f>'C. Min par nature '!E19+'C. Min par nature '!E40+'C. Min par nature '!E54+'C. Min par nature '!E67+'C. Min par nature '!E81+'C. Min par nature '!E101+'C. Min par nature '!E116+'C. Min par nature '!E133+'C. Min par nature '!E158+'C. Min par nature '!E178+'C. Min par nature '!E205+'C. Min par nature '!E229+'C. Min par nature '!E251+'C. Min par nature '!E286</f>
        <v>742717251</v>
      </c>
      <c r="E73" s="92">
        <f>'C. Min par nature '!F19+'C. Min par nature '!F40+'C. Min par nature '!F54+'C. Min par nature '!F67+'C. Min par nature '!F81+'C. Min par nature '!F101+'C. Min par nature '!F116+'C. Min par nature '!F133+'C. Min par nature '!F158+'C. Min par nature '!F178+'C. Min par nature '!F205+'C. Min par nature '!F229+'C. Min par nature '!F251+'C. Min par nature '!F286</f>
        <v>812049906.16</v>
      </c>
      <c r="F73" s="92">
        <f>'C. Min par nature '!G19+'C. Min par nature '!G40+'C. Min par nature '!G54+'C. Min par nature '!G67+'C. Min par nature '!G81+'C. Min par nature '!G101+'C. Min par nature '!G116+'C. Min par nature '!G133+'C. Min par nature '!G158+'C. Min par nature '!G178+'C. Min par nature '!G205+'C. Min par nature '!G229+'C. Min par nature '!G251+'C. Min par nature '!G286</f>
        <v>8000000</v>
      </c>
      <c r="G73" s="92">
        <f t="shared" si="2"/>
        <v>820049906.16</v>
      </c>
    </row>
    <row r="74" spans="1:7" ht="18.75">
      <c r="A74" s="86">
        <v>6174</v>
      </c>
      <c r="B74" s="88" t="s">
        <v>40</v>
      </c>
      <c r="C74" s="92">
        <f>'C. Min par nature '!D55+'C. Min par nature '!D68+'C. Min par nature '!D230</f>
        <v>1196147486</v>
      </c>
      <c r="D74" s="92">
        <f>'C. Min par nature '!E55+'C. Min par nature '!E68+'C. Min par nature '!E230</f>
        <v>1202470987</v>
      </c>
      <c r="E74" s="92">
        <f>'C. Min par nature '!F55+'C. Min par nature '!F68+'C. Min par nature '!F230</f>
        <v>1206147486</v>
      </c>
      <c r="F74" s="92">
        <f>'C. Min par nature '!G55+'C. Min par nature '!G68+'C. Min par nature '!G230</f>
        <v>0</v>
      </c>
      <c r="G74" s="92">
        <f t="shared" si="2"/>
        <v>1206147486</v>
      </c>
    </row>
    <row r="75" spans="1:7" ht="18.75">
      <c r="A75" s="95">
        <v>6175</v>
      </c>
      <c r="B75" s="83" t="s">
        <v>13</v>
      </c>
      <c r="C75" s="92">
        <f>'C. Min par nature '!D18+'C. Min par nature '!D39+'C. Min par nature '!D69+'C. Min par nature '!D82+'C. Min par nature '!D102+'C. Min par nature '!D117+'C. Min par nature '!D134+'C. Min par nature '!D147+'C. Min par nature '!D159+'C. Min par nature '!D179+'C. Min par nature '!D206+'C. Min par nature '!D231+'C. Min par nature '!D252+'C. Min par nature '!D266+'C. Min par nature '!D287</f>
        <v>175612728</v>
      </c>
      <c r="D75" s="92">
        <f>'C. Min par nature '!E18+'C. Min par nature '!E39+'C. Min par nature '!E69+'C. Min par nature '!E82+'C. Min par nature '!E102+'C. Min par nature '!E117+'C. Min par nature '!E134+'C. Min par nature '!E147+'C. Min par nature '!E159+'C. Min par nature '!E179+'C. Min par nature '!E206+'C. Min par nature '!E231+'C. Min par nature '!E252+'C. Min par nature '!E266+'C. Min par nature '!E287</f>
        <v>128604210</v>
      </c>
      <c r="E75" s="92">
        <f>'C. Min par nature '!F18+'C. Min par nature '!F39+'C. Min par nature '!F69+'C. Min par nature '!F82+'C. Min par nature '!F102+'C. Min par nature '!F117+'C. Min par nature '!F134+'C. Min par nature '!F147+'C. Min par nature '!F159+'C. Min par nature '!F179+'C. Min par nature '!F206+'C. Min par nature '!F231+'C. Min par nature '!F252+'C. Min par nature '!F266+'C. Min par nature '!F287</f>
        <v>175612728</v>
      </c>
      <c r="F75" s="92">
        <f>'C. Min par nature '!G18+'C. Min par nature '!G39+'C. Min par nature '!G69+'C. Min par nature '!G82+'C. Min par nature '!G102+'C. Min par nature '!G117+'C. Min par nature '!G134+'C. Min par nature '!G147+'C. Min par nature '!G159+'C. Min par nature '!G179+'C. Min par nature '!G206+'C. Min par nature '!G231+'C. Min par nature '!G252+'C. Min par nature '!G266+'C. Min par nature '!G287</f>
        <v>-35000000</v>
      </c>
      <c r="G75" s="92">
        <f t="shared" si="2"/>
        <v>140612728</v>
      </c>
    </row>
    <row r="76" spans="1:7" ht="18.75">
      <c r="A76" s="163" t="s">
        <v>344</v>
      </c>
      <c r="C76" s="66">
        <f>SUM(C50:C75)</f>
        <v>8122000000.157999</v>
      </c>
      <c r="D76" s="66">
        <f>SUM(D50:D75)</f>
        <v>13880756422</v>
      </c>
      <c r="E76" s="66">
        <f>SUM(E50:E75)</f>
        <v>9302121948.157999</v>
      </c>
      <c r="F76" s="66">
        <f>SUM(F50:F75)</f>
        <v>6210901502</v>
      </c>
      <c r="G76" s="66">
        <f>SUM(G50:G75)</f>
        <v>15513023450.157999</v>
      </c>
    </row>
    <row r="77" spans="1:7" ht="18.75">
      <c r="A77" s="86">
        <v>6311</v>
      </c>
      <c r="B77" s="57" t="s">
        <v>345</v>
      </c>
      <c r="C77" s="92">
        <f>'C. Min par nature '!D84+'C. Min par nature '!D136+'C. Min par nature '!D149+'C. Min par nature '!D162+'C. Min par nature '!D181+'C. Min par nature '!D208+'C. Min par nature '!D233+'C. Min par nature '!D254+'C. Min par nature '!D290+'C. Min par nature '!D119</f>
        <v>1963714935.49</v>
      </c>
      <c r="D77" s="647">
        <f>'C. Min par nature '!E84+'C. Min par nature '!E136+'C. Min par nature '!E149+'C. Min par nature '!E162+'C. Min par nature '!E181+'C. Min par nature '!E208+'C. Min par nature '!E233+'C. Min par nature '!E254+'C. Min par nature '!E290+'C. Min par nature '!E119</f>
        <v>4548756561</v>
      </c>
      <c r="E77" s="92">
        <f>'C. Min par nature '!F71+'C. Min par nature '!F84+'C. Min par nature '!F136+'C. Min par nature '!F149+'C. Min par nature '!F162+'C. Min par nature '!F181+'C. Min par nature '!F208+'C. Min par nature '!F233+'C. Min par nature '!F254+'C. Min par nature '!F290+'C. Min par nature '!F119</f>
        <v>2679966935.49</v>
      </c>
      <c r="F77" s="92">
        <f>'C. Min par nature '!G71+'C. Min par nature '!G84+'C. Min par nature '!G136+'C. Min par nature '!G149+'C. Min par nature '!G162+'C. Min par nature '!G181+'C. Min par nature '!G208+'C. Min par nature '!G233+'C. Min par nature '!G254+'C. Min par nature '!G290+'C. Min par nature '!G119</f>
        <v>2131000000</v>
      </c>
      <c r="G77" s="92">
        <f>E77+F77</f>
        <v>4810966935.49</v>
      </c>
    </row>
    <row r="78" spans="1:7" ht="18.75">
      <c r="A78" s="95">
        <v>6312</v>
      </c>
      <c r="B78" s="57" t="s">
        <v>270</v>
      </c>
      <c r="C78" s="92">
        <f>'C. Min par nature '!D85+'C. Min par nature '!D182+'C. Min par nature '!D209</f>
        <v>1270450052</v>
      </c>
      <c r="D78" s="92">
        <f>'C. Min par nature '!E85+'C. Min par nature '!E182+'C. Min par nature '!E209</f>
        <v>1096365286.06</v>
      </c>
      <c r="E78" s="92">
        <f>'C. Min par nature '!F85+'C. Min par nature '!F182+'C. Min par nature '!F209</f>
        <v>1270450052</v>
      </c>
      <c r="F78" s="92">
        <f>'C. Min par nature '!G85+'C. Min par nature '!G182+'C. Min par nature '!G209</f>
        <v>0</v>
      </c>
      <c r="G78" s="92">
        <f aca="true" t="shared" si="3" ref="G78:G85">E78+F78</f>
        <v>1270450052</v>
      </c>
    </row>
    <row r="79" spans="1:7" ht="18.75">
      <c r="A79" s="95">
        <v>6313</v>
      </c>
      <c r="B79" s="57" t="s">
        <v>254</v>
      </c>
      <c r="C79" s="217">
        <f>'C. Min par nature '!D86</f>
        <v>120000000</v>
      </c>
      <c r="D79" s="217">
        <f>'C. Min par nature '!E86</f>
        <v>90000000</v>
      </c>
      <c r="E79" s="217">
        <f>'C. Min par nature '!F86</f>
        <v>120000000</v>
      </c>
      <c r="F79" s="217">
        <f>'C. Min par nature '!G86</f>
        <v>0</v>
      </c>
      <c r="G79" s="92">
        <f t="shared" si="3"/>
        <v>120000000</v>
      </c>
    </row>
    <row r="80" spans="1:7" ht="18.75">
      <c r="A80" s="95">
        <v>6321</v>
      </c>
      <c r="B80" s="57" t="s">
        <v>524</v>
      </c>
      <c r="C80" s="164">
        <f>'C. Min par nature '!D183</f>
        <v>3000000000</v>
      </c>
      <c r="D80" s="164">
        <f>'C. Min par nature '!E183</f>
        <v>3000000000</v>
      </c>
      <c r="E80" s="164">
        <f>'C. Min par nature '!F183</f>
        <v>3000000000</v>
      </c>
      <c r="F80" s="164">
        <f>'C. Min par nature '!G183</f>
        <v>0</v>
      </c>
      <c r="G80" s="92">
        <f t="shared" si="3"/>
        <v>3000000000</v>
      </c>
    </row>
    <row r="81" spans="1:7" ht="18.75">
      <c r="A81" s="95">
        <v>6381</v>
      </c>
      <c r="B81" s="57" t="s">
        <v>339</v>
      </c>
      <c r="C81" s="92">
        <f>'C. Min par nature '!D104</f>
        <v>28724040</v>
      </c>
      <c r="D81" s="92" t="s">
        <v>722</v>
      </c>
      <c r="E81" s="92">
        <f>'C. Min par nature '!F104</f>
        <v>28724040</v>
      </c>
      <c r="F81" s="92">
        <f>'C. Min par nature '!G104</f>
        <v>0</v>
      </c>
      <c r="G81" s="92">
        <f t="shared" si="3"/>
        <v>28724040</v>
      </c>
    </row>
    <row r="82" spans="1:7" ht="18.75">
      <c r="A82" s="86">
        <v>6431</v>
      </c>
      <c r="B82" s="59" t="s">
        <v>222</v>
      </c>
      <c r="C82" s="92">
        <f>'C. Min par nature '!D210</f>
        <v>60000000</v>
      </c>
      <c r="D82" s="92"/>
      <c r="E82" s="92">
        <f>'C. Min par nature '!F210</f>
        <v>60000000</v>
      </c>
      <c r="F82" s="92">
        <f>'C. Min par nature '!G210</f>
        <v>0</v>
      </c>
      <c r="G82" s="92">
        <f t="shared" si="3"/>
        <v>60000000</v>
      </c>
    </row>
    <row r="83" spans="1:7" ht="18.75">
      <c r="A83" s="86">
        <v>6432</v>
      </c>
      <c r="B83" s="57" t="s">
        <v>41</v>
      </c>
      <c r="C83" s="92">
        <f>'C. Min par nature '!D72+'C. Min par nature '!D87</f>
        <v>93380217</v>
      </c>
      <c r="D83" s="92">
        <f>'C. Min par nature '!E72+'C. Min par nature '!E87</f>
        <v>91441716</v>
      </c>
      <c r="E83" s="92">
        <f>'C. Min par nature '!F72+'C. Min par nature '!F87</f>
        <v>93380217</v>
      </c>
      <c r="F83" s="92">
        <f>'C. Min par nature '!G72+'C. Min par nature '!G87</f>
        <v>0</v>
      </c>
      <c r="G83" s="92">
        <f t="shared" si="3"/>
        <v>93380217</v>
      </c>
    </row>
    <row r="84" spans="1:7" ht="18.75">
      <c r="A84" s="95">
        <v>6433</v>
      </c>
      <c r="B84" s="63" t="s">
        <v>42</v>
      </c>
      <c r="C84" s="92">
        <f>'C. Min par nature '!D21+'C. Min par nature '!D73+'C. Min par nature '!D291</f>
        <v>132102789.161</v>
      </c>
      <c r="D84" s="92">
        <f>'C. Min par nature '!E21+'C. Min par nature '!E73+'C. Min par nature '!E291</f>
        <v>123758977</v>
      </c>
      <c r="E84" s="92">
        <f>'C. Min par nature '!F21+'C. Min par nature '!F73+'C. Min par nature '!F291</f>
        <v>151665789.161</v>
      </c>
      <c r="F84" s="92">
        <f>'C. Min par nature '!G21+'C. Min par nature '!G73+'C. Min par nature '!G291</f>
        <v>0</v>
      </c>
      <c r="G84" s="92">
        <f t="shared" si="3"/>
        <v>151665789.161</v>
      </c>
    </row>
    <row r="85" spans="1:7" ht="18.75">
      <c r="A85" s="95">
        <v>6452</v>
      </c>
      <c r="B85" s="57" t="s">
        <v>182</v>
      </c>
      <c r="C85" s="92">
        <f>'C. Min par nature '!D22+'C. Min par nature '!D42+'C. Min par nature '!D292</f>
        <v>332500000</v>
      </c>
      <c r="D85" s="92">
        <f>'C. Min par nature '!E22+'C. Min par nature '!E42+'C. Min par nature '!E292</f>
        <v>127642571</v>
      </c>
      <c r="E85" s="92">
        <f>'C. Min par nature '!F22+'C. Min par nature '!F42+'C. Min par nature '!F292</f>
        <v>302500000</v>
      </c>
      <c r="F85" s="92">
        <f>'C. Min par nature '!G22+'C. Min par nature '!G42+'C. Min par nature '!G292</f>
        <v>0</v>
      </c>
      <c r="G85" s="92">
        <f t="shared" si="3"/>
        <v>302500000</v>
      </c>
    </row>
    <row r="86" spans="1:8" ht="18.75">
      <c r="A86" s="93" t="s">
        <v>346</v>
      </c>
      <c r="B86" s="85"/>
      <c r="C86" s="66">
        <f>SUM(C77:C85)</f>
        <v>7000872033.651</v>
      </c>
      <c r="D86" s="66">
        <f>SUM(D77:D85)</f>
        <v>9077965111.06</v>
      </c>
      <c r="E86" s="66">
        <f>SUM(E77:E85)</f>
        <v>7706687033.651</v>
      </c>
      <c r="F86" s="66">
        <f>SUM(F77:F85)</f>
        <v>2131000000</v>
      </c>
      <c r="G86" s="66">
        <f>SUM(G77:G85)</f>
        <v>9837687033.651</v>
      </c>
      <c r="H86" s="1"/>
    </row>
    <row r="87" spans="1:7" ht="18.75">
      <c r="A87" s="163" t="s">
        <v>202</v>
      </c>
      <c r="C87" s="66">
        <f>C86+C76+C49+C44+C12</f>
        <v>56528503190.31</v>
      </c>
      <c r="D87" s="66">
        <f>D86+D76+D49+D44+D12</f>
        <v>47610030472.619995</v>
      </c>
      <c r="E87" s="66">
        <f>E86+E76+E49+E44+E12</f>
        <v>56852708404.55</v>
      </c>
      <c r="F87" s="66">
        <f>F86+F76+F49+F44+F12</f>
        <v>0</v>
      </c>
      <c r="G87" s="66">
        <f>G86+G76+G49+G44+G12</f>
        <v>56852708404.55</v>
      </c>
    </row>
    <row r="89" spans="3:5" ht="18.75">
      <c r="C89" s="66"/>
      <c r="E89" s="66"/>
    </row>
    <row r="90" spans="3:5" ht="15">
      <c r="C90" s="1"/>
      <c r="E90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3"/>
  <headerFooter>
    <oddHeader xml:space="preserve">&amp;CCOMPTE ADMINISTRATIF DE L'
EXERCICE BUDGETAIRE 2017  
&amp;RCLASSIFICATION CONSOLIDE PAR NATURE             
            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AC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O11" sqref="O11"/>
    </sheetView>
  </sheetViews>
  <sheetFormatPr defaultColWidth="11.421875" defaultRowHeight="15"/>
  <cols>
    <col min="1" max="1" width="4.140625" style="0" customWidth="1"/>
    <col min="2" max="2" width="4.8515625" style="0" customWidth="1"/>
    <col min="3" max="3" width="55.8515625" style="0" customWidth="1"/>
    <col min="4" max="4" width="9.421875" style="0" customWidth="1"/>
    <col min="5" max="5" width="19.140625" style="0" customWidth="1"/>
    <col min="6" max="6" width="21.7109375" style="0" customWidth="1"/>
    <col min="7" max="7" width="20.8515625" style="0" customWidth="1"/>
    <col min="8" max="8" width="19.57421875" style="0" customWidth="1"/>
    <col min="9" max="9" width="19.7109375" style="0" customWidth="1"/>
    <col min="10" max="10" width="18.8515625" style="0" customWidth="1"/>
    <col min="11" max="11" width="18.57421875" style="0" customWidth="1"/>
    <col min="12" max="12" width="20.57421875" style="0" customWidth="1"/>
    <col min="13" max="13" width="10.8515625" style="0" customWidth="1"/>
    <col min="14" max="14" width="20.00390625" style="0" customWidth="1"/>
    <col min="15" max="15" width="20.140625" style="0" customWidth="1"/>
    <col min="16" max="16" width="11.7109375" style="0" customWidth="1"/>
    <col min="17" max="17" width="23.00390625" style="0" hidden="1" customWidth="1"/>
    <col min="18" max="18" width="17.57421875" style="0" hidden="1" customWidth="1"/>
    <col min="19" max="19" width="12.140625" style="0" hidden="1" customWidth="1"/>
    <col min="20" max="20" width="23.8515625" style="0" customWidth="1"/>
    <col min="21" max="21" width="26.8515625" style="0" customWidth="1"/>
    <col min="22" max="22" width="16.28125" style="0" customWidth="1"/>
    <col min="23" max="23" width="12.7109375" style="0" bestFit="1" customWidth="1"/>
    <col min="24" max="24" width="14.57421875" style="0" bestFit="1" customWidth="1"/>
    <col min="25" max="25" width="13.140625" style="0" customWidth="1"/>
    <col min="26" max="26" width="12.7109375" style="0" bestFit="1" customWidth="1"/>
    <col min="29" max="29" width="16.28125" style="0" customWidth="1"/>
  </cols>
  <sheetData>
    <row r="5" spans="5:16" ht="18.75">
      <c r="E5" s="661" t="s">
        <v>701</v>
      </c>
      <c r="F5" s="661"/>
      <c r="G5" s="661"/>
      <c r="H5" s="661" t="s">
        <v>704</v>
      </c>
      <c r="I5" s="661"/>
      <c r="J5" s="661"/>
      <c r="K5" s="661" t="s">
        <v>705</v>
      </c>
      <c r="L5" s="661"/>
      <c r="M5" s="661"/>
      <c r="N5" s="661" t="s">
        <v>706</v>
      </c>
      <c r="O5" s="661"/>
      <c r="P5" s="661"/>
    </row>
    <row r="6" spans="1:26" ht="50.25" customHeight="1" thickBot="1">
      <c r="A6" s="99" t="s">
        <v>196</v>
      </c>
      <c r="B6" s="100" t="s">
        <v>197</v>
      </c>
      <c r="C6" s="101" t="s">
        <v>198</v>
      </c>
      <c r="D6" s="101" t="s">
        <v>199</v>
      </c>
      <c r="E6" s="102" t="s">
        <v>702</v>
      </c>
      <c r="F6" s="103" t="s">
        <v>703</v>
      </c>
      <c r="G6" s="103" t="s">
        <v>715</v>
      </c>
      <c r="H6" s="102" t="s">
        <v>709</v>
      </c>
      <c r="I6" s="103" t="s">
        <v>708</v>
      </c>
      <c r="J6" s="103" t="s">
        <v>716</v>
      </c>
      <c r="K6" s="101" t="s">
        <v>710</v>
      </c>
      <c r="L6" s="102" t="s">
        <v>711</v>
      </c>
      <c r="M6" s="103" t="s">
        <v>717</v>
      </c>
      <c r="N6" s="102" t="s">
        <v>712</v>
      </c>
      <c r="O6" s="103" t="s">
        <v>713</v>
      </c>
      <c r="P6" s="103" t="s">
        <v>718</v>
      </c>
      <c r="Q6" s="101" t="s">
        <v>560</v>
      </c>
      <c r="R6" s="102" t="s">
        <v>561</v>
      </c>
      <c r="S6" s="104" t="s">
        <v>205</v>
      </c>
      <c r="T6" s="105" t="s">
        <v>202</v>
      </c>
      <c r="U6" s="105" t="s">
        <v>719</v>
      </c>
      <c r="V6" s="605" t="s">
        <v>714</v>
      </c>
      <c r="W6" s="1"/>
      <c r="X6" s="1"/>
      <c r="Y6" s="1"/>
      <c r="Z6" s="1"/>
    </row>
    <row r="7" spans="1:26" ht="24.75" customHeight="1" thickTop="1">
      <c r="A7" s="106">
        <v>1</v>
      </c>
      <c r="B7" s="106" t="s">
        <v>4</v>
      </c>
      <c r="C7" s="106" t="s">
        <v>5</v>
      </c>
      <c r="D7" s="107">
        <f>'prévision 2017'!F33</f>
        <v>108</v>
      </c>
      <c r="E7" s="108">
        <f>'C. Min par nature '!F7</f>
        <v>674806914</v>
      </c>
      <c r="F7" s="208">
        <f>'C. Min par nature '!E7</f>
        <v>655271508.99</v>
      </c>
      <c r="G7" s="109">
        <f>F7/$F$36*100</f>
        <v>2.447473228612099</v>
      </c>
      <c r="H7" s="108">
        <f>'C. Min par nature '!F20</f>
        <v>414250000</v>
      </c>
      <c r="I7" s="208">
        <f>'C. Min par nature '!E20</f>
        <v>414250000</v>
      </c>
      <c r="J7" s="109">
        <f aca="true" t="shared" si="0" ref="J7:J20">I7/$I$36*100</f>
        <v>2.607788157715149</v>
      </c>
      <c r="K7" s="108">
        <f>'C. Min par nature '!F23</f>
        <v>52063000</v>
      </c>
      <c r="L7" s="208">
        <f>'C. Min par nature '!E23</f>
        <v>32500000</v>
      </c>
      <c r="M7" s="109">
        <f>L7/$L$36*100</f>
        <v>0.31303030686839084</v>
      </c>
      <c r="N7" s="108">
        <f>'C. Min par nature '!F27</f>
        <v>75000000</v>
      </c>
      <c r="O7" s="208">
        <f>'C. Min par nature '!E27</f>
        <v>75000000</v>
      </c>
      <c r="P7" s="109">
        <f aca="true" t="shared" si="1" ref="P7:P22">N7/$N$36*100</f>
        <v>0.2737076437445282</v>
      </c>
      <c r="Q7" s="106"/>
      <c r="R7" s="106"/>
      <c r="S7" s="106"/>
      <c r="T7" s="110">
        <f>E7+H7+K7+N7</f>
        <v>1216119914</v>
      </c>
      <c r="U7" s="110">
        <f>F7+I7+L7+O7</f>
        <v>1177021508.99</v>
      </c>
      <c r="V7" s="172">
        <f>U7/$U$36*100</f>
        <v>1.7599721488462692</v>
      </c>
      <c r="W7" s="1"/>
      <c r="X7" s="1"/>
      <c r="Y7" s="1"/>
      <c r="Z7" s="1"/>
    </row>
    <row r="8" spans="1:26" ht="24.75" customHeight="1">
      <c r="A8" s="106">
        <v>1</v>
      </c>
      <c r="B8" s="111" t="s">
        <v>17</v>
      </c>
      <c r="C8" s="147" t="s">
        <v>18</v>
      </c>
      <c r="D8" s="112">
        <f>'prévision 2017'!F58</f>
        <v>44</v>
      </c>
      <c r="E8" s="108">
        <f>'C. Min par nature '!F31</f>
        <v>207955188</v>
      </c>
      <c r="F8" s="208">
        <f>'C. Min par nature '!E31</f>
        <v>168878921.3</v>
      </c>
      <c r="G8" s="109">
        <f aca="true" t="shared" si="2" ref="G8:G25">F8/$F$36*100</f>
        <v>0.6307715703918195</v>
      </c>
      <c r="H8" s="108">
        <f>'C. Min par nature '!F41</f>
        <v>55429733</v>
      </c>
      <c r="I8" s="208">
        <f>'C. Min par nature '!E41</f>
        <v>73429733</v>
      </c>
      <c r="J8" s="109">
        <f t="shared" si="0"/>
        <v>0.4622551313013525</v>
      </c>
      <c r="K8" s="108">
        <f>'C. Min par nature '!F43</f>
        <v>0</v>
      </c>
      <c r="L8" s="208">
        <f>'C. Min par nature '!E43</f>
        <v>0</v>
      </c>
      <c r="M8" s="109">
        <f>L8/$L$36*100</f>
        <v>0</v>
      </c>
      <c r="N8" s="106"/>
      <c r="O8" s="208">
        <v>0</v>
      </c>
      <c r="P8" s="109">
        <f t="shared" si="1"/>
        <v>0</v>
      </c>
      <c r="Q8" s="106"/>
      <c r="R8" s="106"/>
      <c r="S8" s="106"/>
      <c r="T8" s="110">
        <f aca="true" t="shared" si="3" ref="T8:T21">E8+H8+K8+N8</f>
        <v>263384921</v>
      </c>
      <c r="U8" s="110">
        <f aca="true" t="shared" si="4" ref="U8:U21">F8+I8+L8+O8</f>
        <v>242308654.3</v>
      </c>
      <c r="V8" s="172">
        <f aca="true" t="shared" si="5" ref="V8:V28">U8/$U$36*100</f>
        <v>0.3623183431527605</v>
      </c>
      <c r="W8" s="1"/>
      <c r="X8" s="1"/>
      <c r="Y8" s="1"/>
      <c r="Z8" s="1"/>
    </row>
    <row r="9" spans="1:24" ht="24.75" customHeight="1">
      <c r="A9" s="106">
        <v>1</v>
      </c>
      <c r="B9" s="111" t="s">
        <v>22</v>
      </c>
      <c r="C9" s="148" t="s">
        <v>21</v>
      </c>
      <c r="D9" s="107">
        <f>'prévision 2017'!F75</f>
        <v>41</v>
      </c>
      <c r="E9" s="108">
        <f>'C. Min par nature '!F47</f>
        <v>121695600</v>
      </c>
      <c r="F9" s="208">
        <f>'C. Min par nature '!E47</f>
        <v>136875032.55</v>
      </c>
      <c r="G9" s="109">
        <f t="shared" si="2"/>
        <v>0.5112353783668733</v>
      </c>
      <c r="H9" s="108">
        <f>'C. Min par nature '!F56</f>
        <v>29046000</v>
      </c>
      <c r="I9" s="208">
        <f>'C. Min par nature '!E56</f>
        <v>21384500</v>
      </c>
      <c r="J9" s="109">
        <f t="shared" si="0"/>
        <v>0.13461978481269668</v>
      </c>
      <c r="K9" s="106"/>
      <c r="L9" s="208">
        <v>0</v>
      </c>
      <c r="M9" s="109">
        <f aca="true" t="shared" si="6" ref="M9:M22">K9/$K$36*100</f>
        <v>0</v>
      </c>
      <c r="N9" s="106"/>
      <c r="O9" s="208">
        <v>0</v>
      </c>
      <c r="P9" s="109">
        <f t="shared" si="1"/>
        <v>0</v>
      </c>
      <c r="Q9" s="106"/>
      <c r="R9" s="106"/>
      <c r="S9" s="106"/>
      <c r="T9" s="110">
        <f t="shared" si="3"/>
        <v>150741600</v>
      </c>
      <c r="U9" s="110">
        <f t="shared" si="4"/>
        <v>158259532.55</v>
      </c>
      <c r="V9" s="172">
        <f t="shared" si="5"/>
        <v>0.23664169894094603</v>
      </c>
      <c r="W9" s="1"/>
      <c r="X9" s="1"/>
    </row>
    <row r="10" spans="1:26" ht="24.75" customHeight="1">
      <c r="A10" s="106">
        <v>1</v>
      </c>
      <c r="B10" s="113" t="s">
        <v>24</v>
      </c>
      <c r="C10" s="106" t="s">
        <v>25</v>
      </c>
      <c r="D10" s="108">
        <f>'prévision 2017'!F195</f>
        <v>2660</v>
      </c>
      <c r="E10" s="108">
        <f>'C. Min par nature '!F60</f>
        <v>4935746409.221</v>
      </c>
      <c r="F10" s="208">
        <f>'C. Min par nature '!E60</f>
        <v>4691520334.150001</v>
      </c>
      <c r="G10" s="109">
        <f t="shared" si="2"/>
        <v>17.5230728969427</v>
      </c>
      <c r="H10" s="108">
        <f>'C. Min par nature '!F70</f>
        <v>1691181936</v>
      </c>
      <c r="I10" s="208">
        <f>'C. Min par nature '!E70</f>
        <v>1678751405</v>
      </c>
      <c r="J10" s="109">
        <f t="shared" si="0"/>
        <v>10.568082157408973</v>
      </c>
      <c r="K10" s="108">
        <f>'C. Min par nature '!F74</f>
        <v>90101239</v>
      </c>
      <c r="L10" s="208">
        <f>'C. Min par nature '!E74</f>
        <v>85101238</v>
      </c>
      <c r="M10" s="109">
        <f t="shared" si="6"/>
        <v>0.9954082445077382</v>
      </c>
      <c r="N10" s="108"/>
      <c r="O10" s="208">
        <v>0</v>
      </c>
      <c r="P10" s="109">
        <f t="shared" si="1"/>
        <v>0</v>
      </c>
      <c r="Q10" s="106"/>
      <c r="R10" s="106"/>
      <c r="S10" s="106"/>
      <c r="T10" s="110">
        <f t="shared" si="3"/>
        <v>6717029584.221</v>
      </c>
      <c r="U10" s="110">
        <f t="shared" si="4"/>
        <v>6455372977.150001</v>
      </c>
      <c r="V10" s="172">
        <f t="shared" si="5"/>
        <v>9.652565024022302</v>
      </c>
      <c r="X10" s="1"/>
      <c r="Z10" s="1"/>
    </row>
    <row r="11" spans="1:22" s="638" customFormat="1" ht="24.75" customHeight="1">
      <c r="A11" s="649">
        <v>1</v>
      </c>
      <c r="B11" s="650" t="s">
        <v>44</v>
      </c>
      <c r="C11" s="651" t="s">
        <v>633</v>
      </c>
      <c r="D11" s="652">
        <f>'prévision 2017'!F291</f>
        <v>177</v>
      </c>
      <c r="E11" s="652">
        <f>'C. Min par nature '!F78</f>
        <v>330491498</v>
      </c>
      <c r="F11" s="652">
        <f>'C. Min par nature '!E78</f>
        <v>331399099.71</v>
      </c>
      <c r="G11" s="653">
        <f t="shared" si="2"/>
        <v>1.2377929047709513</v>
      </c>
      <c r="H11" s="652">
        <f>'C. Min par nature '!F83</f>
        <v>21469131.3</v>
      </c>
      <c r="I11" s="652">
        <f>'C. Min par nature '!E83</f>
        <v>3775860</v>
      </c>
      <c r="J11" s="653">
        <f t="shared" si="0"/>
        <v>0.023769808070465474</v>
      </c>
      <c r="K11" s="652">
        <f>'C. Min par nature '!F88</f>
        <v>1308598852</v>
      </c>
      <c r="L11" s="652">
        <f>'C. Min par nature '!E88</f>
        <v>1080841452.06</v>
      </c>
      <c r="M11" s="653">
        <f t="shared" si="6"/>
        <v>14.456960864147069</v>
      </c>
      <c r="N11" s="652">
        <f>'C. Min par nature '!F91</f>
        <v>750000000</v>
      </c>
      <c r="O11" s="652">
        <f>'C. Min par nature '!E91</f>
        <v>8907000</v>
      </c>
      <c r="P11" s="653">
        <f t="shared" si="1"/>
        <v>2.737076437445282</v>
      </c>
      <c r="Q11" s="649"/>
      <c r="R11" s="649"/>
      <c r="S11" s="649"/>
      <c r="T11" s="654">
        <f t="shared" si="3"/>
        <v>2410559481.3</v>
      </c>
      <c r="U11" s="654">
        <f t="shared" si="4"/>
        <v>1424923411.77</v>
      </c>
      <c r="V11" s="655">
        <f t="shared" si="5"/>
        <v>2.130653942854591</v>
      </c>
    </row>
    <row r="12" spans="1:22" ht="24.75" customHeight="1">
      <c r="A12" s="106">
        <v>1</v>
      </c>
      <c r="B12" s="113" t="s">
        <v>64</v>
      </c>
      <c r="C12" s="148" t="s">
        <v>634</v>
      </c>
      <c r="D12" s="114">
        <f>'prévision 2017'!F300+'prévision 2017'!F307+'prévision 2017'!F314+'prévision 2017'!F323+'prévision 2017'!F328+'prévision 2017'!F333+'prévision 2017'!F374+'prévision 2017'!F388</f>
        <v>307</v>
      </c>
      <c r="E12" s="115">
        <f>'C. Min par nature '!F95</f>
        <v>841593922</v>
      </c>
      <c r="F12" s="115">
        <f>'C. Min par nature '!E95</f>
        <v>766767370.3000002</v>
      </c>
      <c r="G12" s="109">
        <f t="shared" si="2"/>
        <v>2.8639160800308647</v>
      </c>
      <c r="H12" s="108">
        <f>'C. Min par nature '!F103</f>
        <v>86384417</v>
      </c>
      <c r="I12" s="208">
        <f>'C. Min par nature '!E103</f>
        <v>54474909</v>
      </c>
      <c r="J12" s="109">
        <f t="shared" si="0"/>
        <v>0.34293065198023026</v>
      </c>
      <c r="K12" s="108">
        <f>'C. Min par nature '!F105</f>
        <v>28724040</v>
      </c>
      <c r="L12" s="208">
        <f>'C. Min par nature '!E105</f>
        <v>28720000</v>
      </c>
      <c r="M12" s="109">
        <f t="shared" si="6"/>
        <v>0.31733355222307275</v>
      </c>
      <c r="N12" s="108">
        <f>'C. Min par nature '!F108</f>
        <v>83623400</v>
      </c>
      <c r="O12" s="208">
        <f>'C. Min par nature '!E108</f>
        <v>5781500</v>
      </c>
      <c r="P12" s="109">
        <f t="shared" si="1"/>
        <v>0.30517818367874905</v>
      </c>
      <c r="Q12" s="106"/>
      <c r="R12" s="106"/>
      <c r="S12" s="106"/>
      <c r="T12" s="110">
        <f t="shared" si="3"/>
        <v>1040325779</v>
      </c>
      <c r="U12" s="110">
        <f t="shared" si="4"/>
        <v>855743779.3000002</v>
      </c>
      <c r="V12" s="172">
        <f t="shared" si="5"/>
        <v>1.279573233465222</v>
      </c>
    </row>
    <row r="13" spans="1:25" ht="24.75" customHeight="1">
      <c r="A13" s="106">
        <v>1</v>
      </c>
      <c r="B13" s="113" t="s">
        <v>81</v>
      </c>
      <c r="C13" s="149" t="s">
        <v>635</v>
      </c>
      <c r="D13" s="108">
        <f>'prévision 2017'!F540</f>
        <v>207</v>
      </c>
      <c r="E13" s="108">
        <f>'C. Min par nature '!F112</f>
        <v>1180157673</v>
      </c>
      <c r="F13" s="208">
        <f>'C. Min par nature '!E112</f>
        <v>1178092808.8800004</v>
      </c>
      <c r="G13" s="109">
        <f t="shared" si="2"/>
        <v>4.400238024995885</v>
      </c>
      <c r="H13" s="108">
        <f>'C. Min par nature '!F118</f>
        <v>103671000</v>
      </c>
      <c r="I13" s="208">
        <f>'C. Min par nature '!E118</f>
        <v>73407350</v>
      </c>
      <c r="J13" s="109">
        <f t="shared" si="0"/>
        <v>0.46211422575558514</v>
      </c>
      <c r="K13" s="208">
        <f>'C. Min par nature '!F120</f>
        <v>10000000</v>
      </c>
      <c r="L13" s="208">
        <f>'C. Min par nature '!E120</f>
        <v>0</v>
      </c>
      <c r="M13" s="109">
        <f t="shared" si="6"/>
        <v>0.11047664333536393</v>
      </c>
      <c r="N13" s="108">
        <f>'C. Min par nature '!F123</f>
        <v>0</v>
      </c>
      <c r="O13" s="208">
        <f>'C. Min par nature '!E123</f>
        <v>0</v>
      </c>
      <c r="P13" s="109">
        <f t="shared" si="1"/>
        <v>0</v>
      </c>
      <c r="Q13" s="106"/>
      <c r="R13" s="108"/>
      <c r="S13" s="106"/>
      <c r="T13" s="110">
        <f t="shared" si="3"/>
        <v>1293828673</v>
      </c>
      <c r="U13" s="110">
        <f t="shared" si="4"/>
        <v>1251500158.8800004</v>
      </c>
      <c r="V13" s="172">
        <f t="shared" si="5"/>
        <v>1.8713382950796993</v>
      </c>
      <c r="Y13" s="1"/>
    </row>
    <row r="14" spans="1:22" ht="24.75" customHeight="1">
      <c r="A14" s="106">
        <v>1</v>
      </c>
      <c r="B14" s="113" t="s">
        <v>258</v>
      </c>
      <c r="C14" s="100" t="s">
        <v>636</v>
      </c>
      <c r="D14" s="114">
        <f>'prévision 2017'!F647</f>
        <v>423</v>
      </c>
      <c r="E14" s="115">
        <f>'C. Min par nature '!F128</f>
        <v>1222269675</v>
      </c>
      <c r="F14" s="115">
        <f>'C. Min par nature '!E128</f>
        <v>1096224323.76</v>
      </c>
      <c r="G14" s="109">
        <f t="shared" si="2"/>
        <v>4.094454967363684</v>
      </c>
      <c r="H14" s="108">
        <f>'C. Min par nature '!F135</f>
        <v>199742000</v>
      </c>
      <c r="I14" s="208">
        <f>'C. Min par nature '!E135</f>
        <v>155419550</v>
      </c>
      <c r="J14" s="109">
        <f t="shared" si="0"/>
        <v>0.9783977355882135</v>
      </c>
      <c r="K14" s="108">
        <f>'C. Min par nature '!F137</f>
        <v>12100000</v>
      </c>
      <c r="L14" s="208">
        <f>'C. Min par nature '!E137</f>
        <v>12100000</v>
      </c>
      <c r="M14" s="109">
        <f t="shared" si="6"/>
        <v>0.13367673843579037</v>
      </c>
      <c r="N14" s="108">
        <f>'C. Min par nature '!F139</f>
        <v>3500000000</v>
      </c>
      <c r="O14" s="208">
        <f>'C. Min par nature '!E139</f>
        <v>3500000000</v>
      </c>
      <c r="P14" s="109">
        <f t="shared" si="1"/>
        <v>12.77302337474465</v>
      </c>
      <c r="Q14" s="106"/>
      <c r="R14" s="106"/>
      <c r="S14" s="106"/>
      <c r="T14" s="110">
        <f t="shared" si="3"/>
        <v>4934111675</v>
      </c>
      <c r="U14" s="110">
        <f t="shared" si="4"/>
        <v>4763743873.76</v>
      </c>
      <c r="V14" s="172">
        <f t="shared" si="5"/>
        <v>7.123112430841625</v>
      </c>
    </row>
    <row r="15" spans="1:23" ht="24.75" customHeight="1">
      <c r="A15" s="106">
        <v>1</v>
      </c>
      <c r="B15" s="113" t="s">
        <v>92</v>
      </c>
      <c r="C15" s="106" t="s">
        <v>637</v>
      </c>
      <c r="D15" s="114">
        <f>'prévision 2017'!F656+'prévision 2017'!F663+'prévision 2017'!F676+'prévision 2017'!F681</f>
        <v>28</v>
      </c>
      <c r="E15" s="115">
        <f>'C. Min par nature '!F143</f>
        <v>81155892</v>
      </c>
      <c r="F15" s="115">
        <f>'C. Min par nature '!E143</f>
        <v>95617800.88</v>
      </c>
      <c r="G15" s="109">
        <f t="shared" si="2"/>
        <v>0.35713746839576654</v>
      </c>
      <c r="H15" s="108">
        <f>'C. Min par nature '!F148</f>
        <v>9062293</v>
      </c>
      <c r="I15" s="208">
        <f>'C. Min par nature '!E148</f>
        <v>2466700</v>
      </c>
      <c r="J15" s="109">
        <f t="shared" si="0"/>
        <v>0.01552837911559676</v>
      </c>
      <c r="K15" s="108">
        <f>'C. Min par nature '!F150</f>
        <v>50400000</v>
      </c>
      <c r="L15" s="208">
        <f>'C. Min par nature '!E150</f>
        <v>0</v>
      </c>
      <c r="M15" s="109">
        <f t="shared" si="6"/>
        <v>0.5568022824102342</v>
      </c>
      <c r="N15" s="106"/>
      <c r="O15" s="208">
        <v>0</v>
      </c>
      <c r="P15" s="109">
        <f t="shared" si="1"/>
        <v>0</v>
      </c>
      <c r="Q15" s="106"/>
      <c r="R15" s="106"/>
      <c r="S15" s="106"/>
      <c r="T15" s="110">
        <f t="shared" si="3"/>
        <v>140618185</v>
      </c>
      <c r="U15" s="110">
        <f t="shared" si="4"/>
        <v>98084500.88</v>
      </c>
      <c r="V15" s="172">
        <f t="shared" si="5"/>
        <v>0.14666341138524938</v>
      </c>
      <c r="W15" s="1"/>
    </row>
    <row r="16" spans="1:22" ht="24.75" customHeight="1">
      <c r="A16" s="106">
        <v>1</v>
      </c>
      <c r="B16" s="113" t="s">
        <v>259</v>
      </c>
      <c r="C16" s="100" t="s">
        <v>638</v>
      </c>
      <c r="D16" s="114">
        <f>'prévision 2017'!F777</f>
        <v>162</v>
      </c>
      <c r="E16" s="108">
        <f>'C. Min par nature '!F154</f>
        <v>289582849.26</v>
      </c>
      <c r="F16" s="208">
        <f>'C. Min par nature '!E154</f>
        <v>259564664.64000002</v>
      </c>
      <c r="G16" s="109">
        <f t="shared" si="2"/>
        <v>0.9694875468937448</v>
      </c>
      <c r="H16" s="108">
        <f>'C. Min par nature '!F161</f>
        <v>54177540</v>
      </c>
      <c r="I16" s="208">
        <f>'C. Min par nature '!E161</f>
        <v>9969560</v>
      </c>
      <c r="J16" s="109">
        <f t="shared" si="0"/>
        <v>0.06276041160079816</v>
      </c>
      <c r="K16" s="108">
        <f>'C. Min par nature '!F163</f>
        <v>89503716</v>
      </c>
      <c r="L16" s="208">
        <f>'C. Min par nature '!E163</f>
        <v>22500000</v>
      </c>
      <c r="M16" s="109">
        <f t="shared" si="6"/>
        <v>0.9888070109721706</v>
      </c>
      <c r="N16" s="108">
        <f>'C. Min par nature '!F170</f>
        <v>2358435384.52</v>
      </c>
      <c r="O16" s="208">
        <f>'C. Min par nature '!E170</f>
        <v>330000000</v>
      </c>
      <c r="P16" s="109">
        <f t="shared" si="1"/>
        <v>8.606957226942527</v>
      </c>
      <c r="Q16" s="106"/>
      <c r="R16" s="106"/>
      <c r="S16" s="106"/>
      <c r="T16" s="110">
        <f t="shared" si="3"/>
        <v>2791699489.7799997</v>
      </c>
      <c r="U16" s="110">
        <f t="shared" si="4"/>
        <v>622034224.64</v>
      </c>
      <c r="V16" s="172">
        <f t="shared" si="5"/>
        <v>0.9301129186118253</v>
      </c>
    </row>
    <row r="17" spans="1:22" ht="24.75" customHeight="1">
      <c r="A17" s="106">
        <v>1</v>
      </c>
      <c r="B17" s="113" t="s">
        <v>108</v>
      </c>
      <c r="C17" s="100" t="s">
        <v>639</v>
      </c>
      <c r="D17" s="114">
        <f>'prévision 2017'!F881</f>
        <v>84</v>
      </c>
      <c r="E17" s="108">
        <f>'C. Min par nature '!F174</f>
        <v>204480721</v>
      </c>
      <c r="F17" s="208">
        <f>'C. Min par nature '!E174</f>
        <v>244159688.67</v>
      </c>
      <c r="G17" s="109">
        <f t="shared" si="2"/>
        <v>0.9119491589786323</v>
      </c>
      <c r="H17" s="108">
        <f>'C. Min par nature '!F180</f>
        <v>13288128.962</v>
      </c>
      <c r="I17" s="208">
        <f>'C. Min par nature '!E180</f>
        <v>49569500</v>
      </c>
      <c r="J17" s="109">
        <f t="shared" si="0"/>
        <v>0.31205010279749207</v>
      </c>
      <c r="K17" s="108">
        <f>'C. Min par nature '!F184</f>
        <v>3196412000</v>
      </c>
      <c r="L17" s="208">
        <f>'C. Min par nature '!E184</f>
        <v>3094160000</v>
      </c>
      <c r="M17" s="109">
        <f t="shared" si="6"/>
        <v>35.31288684768773</v>
      </c>
      <c r="N17" s="108">
        <f>'C. Min par nature '!F195</f>
        <v>15157000000</v>
      </c>
      <c r="O17" s="208">
        <f>'C. Min par nature '!E195</f>
        <v>7807664186</v>
      </c>
      <c r="P17" s="109">
        <f t="shared" si="1"/>
        <v>55.314490083144186</v>
      </c>
      <c r="Q17" s="106"/>
      <c r="R17" s="106"/>
      <c r="S17" s="106"/>
      <c r="T17" s="110">
        <f>E17+H17+K17+N17</f>
        <v>18571180849.961998</v>
      </c>
      <c r="U17" s="110">
        <f t="shared" si="4"/>
        <v>11195553374.67</v>
      </c>
      <c r="V17" s="172">
        <f t="shared" si="5"/>
        <v>16.74044355166365</v>
      </c>
    </row>
    <row r="18" spans="1:22" ht="24.75" customHeight="1">
      <c r="A18" s="106">
        <v>1</v>
      </c>
      <c r="B18" s="113" t="s">
        <v>115</v>
      </c>
      <c r="C18" s="149" t="s">
        <v>640</v>
      </c>
      <c r="D18" s="114">
        <f>'prévision 2017'!F1022</f>
        <v>124</v>
      </c>
      <c r="E18" s="108">
        <f>'C. Min par nature '!F199</f>
        <v>513709380</v>
      </c>
      <c r="F18" s="208">
        <f>'C. Min par nature '!E199</f>
        <v>481171641.35</v>
      </c>
      <c r="G18" s="109">
        <f t="shared" si="2"/>
        <v>1.7972011516060582</v>
      </c>
      <c r="H18" s="108">
        <f>'C. Min par nature '!F207</f>
        <v>113879400</v>
      </c>
      <c r="I18" s="208">
        <f>'C. Min par nature '!E207</f>
        <v>90799060</v>
      </c>
      <c r="J18" s="109">
        <f t="shared" si="0"/>
        <v>0.5715985839460888</v>
      </c>
      <c r="K18" s="108">
        <f>'C. Min par nature '!F211</f>
        <v>1707413883.49</v>
      </c>
      <c r="L18" s="208">
        <f>'C. Min par nature '!E211</f>
        <v>1627710047</v>
      </c>
      <c r="M18" s="109">
        <f t="shared" si="6"/>
        <v>18.862935463217337</v>
      </c>
      <c r="N18" s="108">
        <f>'C. Min par nature '!F218</f>
        <v>347680000</v>
      </c>
      <c r="O18" s="208">
        <f>'C. Min par nature '!E218</f>
        <v>0</v>
      </c>
      <c r="P18" s="109">
        <f t="shared" si="1"/>
        <v>1.268835647694634</v>
      </c>
      <c r="Q18" s="106"/>
      <c r="R18" s="106"/>
      <c r="S18" s="106"/>
      <c r="T18" s="110">
        <f t="shared" si="3"/>
        <v>2682682663.49</v>
      </c>
      <c r="U18" s="110">
        <f t="shared" si="4"/>
        <v>2199680748.35</v>
      </c>
      <c r="V18" s="172">
        <f t="shared" si="5"/>
        <v>3.2891300829084598</v>
      </c>
    </row>
    <row r="19" spans="1:22" ht="24.75" customHeight="1">
      <c r="A19" s="106">
        <v>1</v>
      </c>
      <c r="B19" s="113" t="s">
        <v>127</v>
      </c>
      <c r="C19" s="100" t="s">
        <v>149</v>
      </c>
      <c r="D19" s="117">
        <f>'prévision 2017'!F1131</f>
        <v>454</v>
      </c>
      <c r="E19" s="110">
        <f>'C. Min par nature '!F222</f>
        <v>920378149</v>
      </c>
      <c r="F19" s="110">
        <f>'C. Min par nature '!E222</f>
        <v>998682596.23</v>
      </c>
      <c r="G19" s="109">
        <f t="shared" si="2"/>
        <v>3.7301315326851068</v>
      </c>
      <c r="H19" s="108">
        <f>'C. Min par nature '!F232</f>
        <v>1447832019</v>
      </c>
      <c r="I19" s="208">
        <f>'C. Min par nature '!E232</f>
        <v>884712560</v>
      </c>
      <c r="J19" s="109">
        <f t="shared" si="0"/>
        <v>5.569445834519863</v>
      </c>
      <c r="K19" s="108">
        <f>'C. Min par nature '!F234</f>
        <v>300000000</v>
      </c>
      <c r="L19" s="208">
        <f>'C. Min par nature '!E234</f>
        <v>300000000</v>
      </c>
      <c r="M19" s="109">
        <f t="shared" si="6"/>
        <v>3.314299300060918</v>
      </c>
      <c r="N19" s="108">
        <f>'C. Min par nature '!F241</f>
        <v>1233000000</v>
      </c>
      <c r="O19" s="208">
        <f>'C. Min par nature '!E241</f>
        <v>500000000</v>
      </c>
      <c r="P19" s="109">
        <f t="shared" si="1"/>
        <v>4.499753663160043</v>
      </c>
      <c r="Q19" s="106"/>
      <c r="R19" s="106"/>
      <c r="S19" s="106"/>
      <c r="T19" s="110">
        <f t="shared" si="3"/>
        <v>3901210168</v>
      </c>
      <c r="U19" s="110">
        <f t="shared" si="4"/>
        <v>2683395156.23</v>
      </c>
      <c r="V19" s="172">
        <f t="shared" si="5"/>
        <v>4.012416683333446</v>
      </c>
    </row>
    <row r="20" spans="1:22" ht="24.75" customHeight="1">
      <c r="A20" s="106">
        <v>1</v>
      </c>
      <c r="B20" s="113" t="s">
        <v>130</v>
      </c>
      <c r="C20" s="100" t="s">
        <v>641</v>
      </c>
      <c r="D20" s="110">
        <f>'prévision 2017'!F1143+'prévision 2017'!F1150+'prévision 2017'!F1164+'prévision 2017'!F1176+'prévision 2017'!F1199</f>
        <v>27</v>
      </c>
      <c r="E20" s="110">
        <f>'C. Min par nature '!F245</f>
        <v>97737800</v>
      </c>
      <c r="F20" s="110">
        <f>'C. Min par nature '!E245</f>
        <v>103303367.15</v>
      </c>
      <c r="G20" s="109">
        <f t="shared" si="2"/>
        <v>0.3858434588661019</v>
      </c>
      <c r="H20" s="108">
        <f>'C. Min par nature '!F253</f>
        <v>33878075</v>
      </c>
      <c r="I20" s="208">
        <f>'C. Min par nature '!E253</f>
        <v>5915281</v>
      </c>
      <c r="J20" s="109">
        <f t="shared" si="0"/>
        <v>0.03723789919458642</v>
      </c>
      <c r="K20" s="108">
        <f>'C. Min par nature '!F255</f>
        <v>38600000</v>
      </c>
      <c r="L20" s="208">
        <f>'C. Min par nature '!E255</f>
        <v>27300000</v>
      </c>
      <c r="M20" s="109">
        <f t="shared" si="6"/>
        <v>0.4264398432745048</v>
      </c>
      <c r="N20" s="108">
        <f>'C. Min par nature '!F258</f>
        <v>0</v>
      </c>
      <c r="O20" s="208">
        <f>'C. Min par nature '!E258</f>
        <v>0</v>
      </c>
      <c r="P20" s="109">
        <f t="shared" si="1"/>
        <v>0</v>
      </c>
      <c r="Q20" s="106"/>
      <c r="R20" s="106"/>
      <c r="S20" s="106"/>
      <c r="T20" s="110">
        <f t="shared" si="3"/>
        <v>170215875</v>
      </c>
      <c r="U20" s="110">
        <f t="shared" si="4"/>
        <v>136518648.15</v>
      </c>
      <c r="V20" s="172">
        <f t="shared" si="5"/>
        <v>0.20413307378581183</v>
      </c>
    </row>
    <row r="21" spans="1:23" ht="24.75" customHeight="1" hidden="1">
      <c r="A21" s="106">
        <v>1</v>
      </c>
      <c r="B21" s="113" t="s">
        <v>260</v>
      </c>
      <c r="C21" s="100" t="s">
        <v>165</v>
      </c>
      <c r="D21" s="107">
        <f>'prévision 2017'!F1135</f>
        <v>0</v>
      </c>
      <c r="E21" s="108">
        <f>'C. Min par nature '!E262</f>
        <v>0</v>
      </c>
      <c r="F21" s="109">
        <f>E21/$E$26*100</f>
        <v>0</v>
      </c>
      <c r="G21" s="109">
        <f t="shared" si="2"/>
        <v>0</v>
      </c>
      <c r="H21" s="108">
        <f>'C. Min par nature '!DD240</f>
        <v>0</v>
      </c>
      <c r="I21" s="109">
        <f>H21/$H$26*100</f>
        <v>0</v>
      </c>
      <c r="J21" s="109">
        <f>H21/$H$36*100</f>
        <v>0</v>
      </c>
      <c r="K21" s="106"/>
      <c r="L21" s="109">
        <f>K21/$K$26*100</f>
        <v>0</v>
      </c>
      <c r="M21" s="109">
        <f t="shared" si="6"/>
        <v>0</v>
      </c>
      <c r="N21" s="106"/>
      <c r="O21" s="109">
        <f>N21/$N$26*100</f>
        <v>0</v>
      </c>
      <c r="P21" s="109">
        <f t="shared" si="1"/>
        <v>0</v>
      </c>
      <c r="Q21" s="106"/>
      <c r="R21" s="106"/>
      <c r="S21" s="106"/>
      <c r="T21" s="110">
        <f t="shared" si="3"/>
        <v>0</v>
      </c>
      <c r="U21" s="110">
        <f t="shared" si="4"/>
        <v>0</v>
      </c>
      <c r="V21" s="172">
        <f t="shared" si="5"/>
        <v>0</v>
      </c>
      <c r="W21" t="s">
        <v>293</v>
      </c>
    </row>
    <row r="22" spans="1:22" ht="24.75" customHeight="1">
      <c r="A22" s="106">
        <v>1</v>
      </c>
      <c r="B22" s="113" t="s">
        <v>167</v>
      </c>
      <c r="C22" s="116" t="s">
        <v>168</v>
      </c>
      <c r="D22" s="118">
        <f>'prévision 2017'!F1137</f>
        <v>0</v>
      </c>
      <c r="E22" s="119">
        <f>'C. Min par nature '!F274</f>
        <v>289006596</v>
      </c>
      <c r="F22" s="119">
        <f>'C. Min par nature '!E274</f>
        <v>187481253</v>
      </c>
      <c r="G22" s="109">
        <f t="shared" si="2"/>
        <v>0.7002522485548114</v>
      </c>
      <c r="H22" s="108">
        <f>'C. Min par nature '!F289</f>
        <v>5028830274.896</v>
      </c>
      <c r="I22" s="208">
        <f>'C. Min par nature '!E289</f>
        <v>10362430454</v>
      </c>
      <c r="J22" s="109">
        <f>I22/$I$36*100</f>
        <v>65.23361116014004</v>
      </c>
      <c r="K22" s="108">
        <f>'C. Min par nature '!F293</f>
        <v>822770303.161</v>
      </c>
      <c r="L22" s="208">
        <f>'C. Min par nature '!E293</f>
        <v>2799064404</v>
      </c>
      <c r="M22" s="109">
        <f t="shared" si="6"/>
        <v>9.089690132924707</v>
      </c>
      <c r="N22" s="108">
        <f>'C. Min par nature '!F313</f>
        <v>2977761215.24</v>
      </c>
      <c r="O22" s="208">
        <f>'C. Min par nature '!E313</f>
        <v>488140789</v>
      </c>
      <c r="P22" s="109">
        <f t="shared" si="1"/>
        <v>10.867146744762444</v>
      </c>
      <c r="Q22" s="108"/>
      <c r="R22" s="108"/>
      <c r="S22" s="106"/>
      <c r="T22" s="108">
        <f>+R22+Q22+N22+K22+H22+E22</f>
        <v>9118368389.297</v>
      </c>
      <c r="U22" s="110">
        <f>F22+I22+L22+O22</f>
        <v>13837116900</v>
      </c>
      <c r="V22" s="172">
        <f t="shared" si="5"/>
        <v>20.690310396474608</v>
      </c>
    </row>
    <row r="23" spans="1:22" ht="24.75" customHeight="1">
      <c r="A23" s="171"/>
      <c r="B23" s="113" t="s">
        <v>167</v>
      </c>
      <c r="C23" s="104" t="s">
        <v>203</v>
      </c>
      <c r="D23" s="118"/>
      <c r="E23" s="119"/>
      <c r="F23" s="119"/>
      <c r="G23" s="109">
        <f t="shared" si="2"/>
        <v>0</v>
      </c>
      <c r="H23" s="108"/>
      <c r="I23" s="108"/>
      <c r="J23" s="108"/>
      <c r="K23" s="108"/>
      <c r="L23" s="108"/>
      <c r="M23" s="109"/>
      <c r="N23" s="108"/>
      <c r="O23" s="108"/>
      <c r="P23" s="108"/>
      <c r="Q23" s="108"/>
      <c r="R23" s="108"/>
      <c r="S23" s="171"/>
      <c r="T23" s="108">
        <f>'C. Min par nature '!F300+'C. Min par nature '!F301+'C. Min par nature '!F302</f>
        <v>309554529.4</v>
      </c>
      <c r="U23" s="110">
        <f>'C. Min par nature '!E300+'C. Min par nature '!E301+'C. Min par nature '!E302</f>
        <v>121635116</v>
      </c>
      <c r="V23" s="172">
        <f t="shared" si="5"/>
        <v>0.18187808365998517</v>
      </c>
    </row>
    <row r="24" spans="1:22" ht="24.75" customHeight="1">
      <c r="A24" s="171"/>
      <c r="B24" s="113" t="s">
        <v>167</v>
      </c>
      <c r="C24" s="104" t="s">
        <v>204</v>
      </c>
      <c r="D24" s="118"/>
      <c r="E24" s="119"/>
      <c r="F24" s="119"/>
      <c r="G24" s="109">
        <f t="shared" si="2"/>
        <v>0</v>
      </c>
      <c r="H24" s="108"/>
      <c r="I24" s="108"/>
      <c r="J24" s="108"/>
      <c r="K24" s="108"/>
      <c r="L24" s="108"/>
      <c r="M24" s="109"/>
      <c r="N24" s="108"/>
      <c r="O24" s="108"/>
      <c r="P24" s="108"/>
      <c r="Q24" s="108"/>
      <c r="R24" s="108"/>
      <c r="S24" s="171"/>
      <c r="T24" s="108">
        <f>'C. Min par nature '!F294+'C. Min par nature '!F295</f>
        <v>641076627.1</v>
      </c>
      <c r="U24" s="208">
        <f>'C. Min par nature '!E294+'C. Min par nature '!E295</f>
        <v>419169937</v>
      </c>
      <c r="V24" s="172">
        <f t="shared" si="5"/>
        <v>0.6267747947840714</v>
      </c>
    </row>
    <row r="25" spans="1:22" ht="24.75" customHeight="1">
      <c r="A25" s="171"/>
      <c r="B25" s="113" t="s">
        <v>167</v>
      </c>
      <c r="C25" s="104" t="s">
        <v>250</v>
      </c>
      <c r="D25" s="118"/>
      <c r="E25" s="119"/>
      <c r="F25" s="119"/>
      <c r="G25" s="109">
        <f t="shared" si="2"/>
        <v>0</v>
      </c>
      <c r="H25" s="108"/>
      <c r="I25" s="108"/>
      <c r="J25" s="108"/>
      <c r="K25" s="108"/>
      <c r="L25" s="108"/>
      <c r="M25" s="109"/>
      <c r="N25" s="108"/>
      <c r="O25" s="108"/>
      <c r="P25" s="108"/>
      <c r="Q25" s="108"/>
      <c r="R25" s="108"/>
      <c r="S25" s="171"/>
      <c r="T25" s="108">
        <f>'C. Min par nature '!F299</f>
        <v>500000000</v>
      </c>
      <c r="U25" s="208">
        <f>F25+I25+L25+O25</f>
        <v>0</v>
      </c>
      <c r="V25" s="172">
        <f t="shared" si="5"/>
        <v>0</v>
      </c>
    </row>
    <row r="26" spans="1:22" ht="24.75" customHeight="1">
      <c r="A26" s="106">
        <v>1</v>
      </c>
      <c r="B26" s="120" t="s">
        <v>208</v>
      </c>
      <c r="C26" s="120"/>
      <c r="D26" s="121">
        <f>SUBTOTAL(109,D7:D25)</f>
        <v>4846</v>
      </c>
      <c r="E26" s="117">
        <f aca="true" t="shared" si="7" ref="E26:P26">SUBTOTAL(109,E7:E25)</f>
        <v>11910768266.481</v>
      </c>
      <c r="F26" s="117">
        <f t="shared" si="7"/>
        <v>11395010411.56</v>
      </c>
      <c r="G26" s="121">
        <f t="shared" si="7"/>
        <v>42.5609576174551</v>
      </c>
      <c r="H26" s="117">
        <f>SUBTOTAL(109,H7:H25)</f>
        <v>9302121948.158</v>
      </c>
      <c r="I26" s="117">
        <f>SUBTOTAL(109,I7:I25)</f>
        <v>13880756422</v>
      </c>
      <c r="J26" s="117">
        <f t="shared" si="7"/>
        <v>87.38219002394715</v>
      </c>
      <c r="K26" s="117">
        <f t="shared" si="7"/>
        <v>7706687033.651</v>
      </c>
      <c r="L26" s="117">
        <f t="shared" si="7"/>
        <v>9109997141.06</v>
      </c>
      <c r="M26" s="121">
        <f t="shared" si="7"/>
        <v>84.87874723006503</v>
      </c>
      <c r="N26" s="117">
        <f>SUBTOTAL(109,N7:N25)</f>
        <v>26482499999.760002</v>
      </c>
      <c r="O26" s="117">
        <f>SUBTOTAL(109,O7:O25)</f>
        <v>12715493475</v>
      </c>
      <c r="P26" s="117">
        <f t="shared" si="7"/>
        <v>96.64616900531703</v>
      </c>
      <c r="Q26" s="117">
        <f>SUBTOTAL(109,Q7:Q22)</f>
        <v>0</v>
      </c>
      <c r="R26" s="117">
        <f>SUBTOTAL(109,R7:R22)</f>
        <v>0</v>
      </c>
      <c r="S26" s="117">
        <f>SUBTOTAL(109,S7:S22)</f>
        <v>0</v>
      </c>
      <c r="T26" s="117">
        <f>SUBTOTAL(109,T7:T25)</f>
        <v>56852708404.55</v>
      </c>
      <c r="U26" s="117">
        <f>SUBTOTAL(109,U7:U25)</f>
        <v>47642062502.619995</v>
      </c>
      <c r="V26" s="173">
        <f t="shared" si="5"/>
        <v>71.2380381138105</v>
      </c>
    </row>
    <row r="27" spans="1:22" s="81" customFormat="1" ht="24.75" customHeight="1">
      <c r="A27" s="106"/>
      <c r="B27" s="106"/>
      <c r="C27" s="106"/>
      <c r="D27" s="107"/>
      <c r="E27" s="106"/>
      <c r="F27" s="108"/>
      <c r="G27" s="108"/>
      <c r="H27" s="108"/>
      <c r="I27" s="108"/>
      <c r="J27" s="108"/>
      <c r="K27" s="106"/>
      <c r="L27" s="108"/>
      <c r="M27" s="106"/>
      <c r="N27" s="106"/>
      <c r="O27" s="108"/>
      <c r="P27" s="108"/>
      <c r="Q27" s="106"/>
      <c r="R27" s="106"/>
      <c r="S27" s="106"/>
      <c r="T27" s="108"/>
      <c r="U27" s="208"/>
      <c r="V27" s="172">
        <f t="shared" si="5"/>
        <v>0</v>
      </c>
    </row>
    <row r="28" spans="1:22" ht="24.75" customHeight="1">
      <c r="A28" s="205"/>
      <c r="B28" s="205"/>
      <c r="C28" s="206"/>
      <c r="D28" s="207"/>
      <c r="E28" s="208"/>
      <c r="F28" s="361"/>
      <c r="G28" s="361"/>
      <c r="H28" s="208"/>
      <c r="I28" s="208"/>
      <c r="J28" s="208"/>
      <c r="K28" s="208"/>
      <c r="L28" s="361"/>
      <c r="M28" s="361"/>
      <c r="N28" s="208"/>
      <c r="O28" s="208"/>
      <c r="P28" s="208"/>
      <c r="Q28" s="205"/>
      <c r="R28" s="205"/>
      <c r="S28" s="205"/>
      <c r="T28" s="208"/>
      <c r="U28" s="208"/>
      <c r="V28" s="172">
        <f t="shared" si="5"/>
        <v>0</v>
      </c>
    </row>
    <row r="29" spans="1:21" ht="24.75" customHeight="1">
      <c r="A29" s="122"/>
      <c r="B29" s="122"/>
      <c r="C29" s="122"/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2"/>
      <c r="S29" s="122"/>
      <c r="T29" s="122"/>
      <c r="U29" s="122"/>
    </row>
    <row r="30" spans="1:29" ht="24.75" customHeight="1">
      <c r="A30" s="124">
        <v>2</v>
      </c>
      <c r="B30" s="124"/>
      <c r="C30" s="125" t="s">
        <v>210</v>
      </c>
      <c r="D30" s="126"/>
      <c r="E30" s="127">
        <v>6277000000</v>
      </c>
      <c r="F30" s="128">
        <v>6387114653</v>
      </c>
      <c r="G30" s="129">
        <f>E30/$E$36*100</f>
        <v>24.20769802294831</v>
      </c>
      <c r="H30" s="130">
        <v>700000000</v>
      </c>
      <c r="I30" s="129">
        <v>915466333</v>
      </c>
      <c r="J30" s="129">
        <f>H30/$H$36*100</f>
        <v>6.4402626388659625</v>
      </c>
      <c r="K30" s="130">
        <v>686000000</v>
      </c>
      <c r="L30" s="131">
        <v>767821025</v>
      </c>
      <c r="M30" s="131">
        <f>K30/$K$36*100</f>
        <v>7.578697732805965</v>
      </c>
      <c r="N30" s="130">
        <v>434000000</v>
      </c>
      <c r="O30" s="130">
        <v>217006105</v>
      </c>
      <c r="P30" s="131">
        <f>N30/$N$36*100</f>
        <v>1.5838548984683363</v>
      </c>
      <c r="Q30" s="124"/>
      <c r="R30" s="124"/>
      <c r="S30" s="124"/>
      <c r="T30" s="132">
        <f aca="true" t="shared" si="8" ref="T30:U32">E30+H30+K30+N30</f>
        <v>8097000000</v>
      </c>
      <c r="U30" s="607">
        <f t="shared" si="8"/>
        <v>8287408116</v>
      </c>
      <c r="V30" s="175">
        <f>T30/$T$36*100</f>
        <v>10.838964440420245</v>
      </c>
      <c r="W30" s="75"/>
      <c r="X30" s="75"/>
      <c r="Y30" s="74"/>
      <c r="Z30" s="74"/>
      <c r="AA30" s="74"/>
      <c r="AB30" s="74"/>
      <c r="AC30" s="76"/>
    </row>
    <row r="31" spans="1:29" ht="24.75" customHeight="1">
      <c r="A31" s="124">
        <v>3</v>
      </c>
      <c r="B31" s="124"/>
      <c r="C31" s="125" t="s">
        <v>333</v>
      </c>
      <c r="D31" s="126"/>
      <c r="E31" s="133">
        <v>6217000000</v>
      </c>
      <c r="F31" s="128">
        <v>7083998474</v>
      </c>
      <c r="G31" s="129">
        <f>E31/$E$36*100</f>
        <v>23.976303745207844</v>
      </c>
      <c r="H31" s="130">
        <v>582000000</v>
      </c>
      <c r="I31" s="129">
        <v>900206752</v>
      </c>
      <c r="J31" s="129">
        <f>H31/$H$36*100</f>
        <v>5.354618365457129</v>
      </c>
      <c r="K31" s="130">
        <v>306000000</v>
      </c>
      <c r="L31" s="131">
        <v>194347092</v>
      </c>
      <c r="M31" s="131">
        <f>K31/$K$36*100</f>
        <v>3.380585286062136</v>
      </c>
      <c r="N31" s="130">
        <v>405000000</v>
      </c>
      <c r="O31" s="130">
        <v>348903935</v>
      </c>
      <c r="P31" s="131">
        <f>N31/$N$36*100</f>
        <v>1.4780212762204523</v>
      </c>
      <c r="Q31" s="124"/>
      <c r="R31" s="124"/>
      <c r="S31" s="124"/>
      <c r="T31" s="132">
        <f t="shared" si="8"/>
        <v>7510000000</v>
      </c>
      <c r="U31" s="607">
        <f t="shared" si="8"/>
        <v>8527456253</v>
      </c>
      <c r="V31" s="175">
        <f>T31/$T$36*100</f>
        <v>10.053183024275167</v>
      </c>
      <c r="W31" s="75"/>
      <c r="X31" s="75"/>
      <c r="Y31" s="74"/>
      <c r="Z31" s="74"/>
      <c r="AA31" s="74"/>
      <c r="AB31" s="74"/>
      <c r="AC31" s="76"/>
    </row>
    <row r="32" spans="1:29" ht="24.75" customHeight="1">
      <c r="A32" s="124">
        <v>4</v>
      </c>
      <c r="B32" s="124"/>
      <c r="C32" s="125" t="s">
        <v>251</v>
      </c>
      <c r="D32" s="126"/>
      <c r="E32" s="133">
        <v>1525000000</v>
      </c>
      <c r="F32" s="128">
        <v>1907264677.89</v>
      </c>
      <c r="G32" s="129">
        <f>E32/$E$36*100</f>
        <v>5.881271225903484</v>
      </c>
      <c r="H32" s="130">
        <v>285000000</v>
      </c>
      <c r="I32" s="129">
        <v>188679825</v>
      </c>
      <c r="J32" s="129">
        <f>H32/$H$36*100</f>
        <v>2.622106931538285</v>
      </c>
      <c r="K32" s="130">
        <v>353000000</v>
      </c>
      <c r="L32" s="131">
        <v>310216028</v>
      </c>
      <c r="M32" s="131">
        <f>K32/$K$36*100</f>
        <v>3.8998255097383474</v>
      </c>
      <c r="N32" s="130">
        <v>80000000</v>
      </c>
      <c r="O32" s="130">
        <v>14193000</v>
      </c>
      <c r="P32" s="131">
        <f>N32/$N$36*100</f>
        <v>0.2919548199941634</v>
      </c>
      <c r="Q32" s="130"/>
      <c r="R32" s="124"/>
      <c r="S32" s="124"/>
      <c r="T32" s="132">
        <f t="shared" si="8"/>
        <v>2243000000</v>
      </c>
      <c r="U32" s="607">
        <f t="shared" si="8"/>
        <v>2420353530.8900003</v>
      </c>
      <c r="V32" s="175">
        <f>T32/$T$36*100</f>
        <v>3.0025685117775236</v>
      </c>
      <c r="W32" s="75"/>
      <c r="X32" s="75"/>
      <c r="Y32" s="73"/>
      <c r="Z32" s="74"/>
      <c r="AA32" s="74"/>
      <c r="AB32" s="74"/>
      <c r="AC32" s="76"/>
    </row>
    <row r="33" spans="1:29" ht="19.5">
      <c r="A33" s="124"/>
      <c r="B33" s="124"/>
      <c r="C33" s="125"/>
      <c r="D33" s="126"/>
      <c r="E33" s="130"/>
      <c r="F33" s="134"/>
      <c r="G33" s="134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24"/>
      <c r="S33" s="124"/>
      <c r="T33" s="130"/>
      <c r="U33" s="607">
        <f>F33+I33+L33+O33</f>
        <v>0</v>
      </c>
      <c r="V33" s="174"/>
      <c r="W33" s="73"/>
      <c r="X33" s="73"/>
      <c r="Y33" s="73"/>
      <c r="Z33" s="74"/>
      <c r="AA33" s="74"/>
      <c r="AB33" s="74"/>
      <c r="AC33" s="73"/>
    </row>
    <row r="34" spans="1:29" ht="19.5">
      <c r="A34" s="135"/>
      <c r="B34" s="135" t="s">
        <v>334</v>
      </c>
      <c r="C34" s="136"/>
      <c r="D34" s="137"/>
      <c r="E34" s="138">
        <f>SUM(E30:E32)</f>
        <v>14019000000</v>
      </c>
      <c r="F34" s="139">
        <f aca="true" t="shared" si="9" ref="F34:S34">SUM(F30:F32)</f>
        <v>15378377804.89</v>
      </c>
      <c r="G34" s="139">
        <f>SUM(G30:G32)</f>
        <v>54.06527299405963</v>
      </c>
      <c r="H34" s="138">
        <f t="shared" si="9"/>
        <v>1567000000</v>
      </c>
      <c r="I34" s="138">
        <f t="shared" si="9"/>
        <v>2004352910</v>
      </c>
      <c r="J34" s="138">
        <f>SUM(J30:J32)</f>
        <v>14.416987935861377</v>
      </c>
      <c r="K34" s="138">
        <f>SUM(K30:K32)</f>
        <v>1345000000</v>
      </c>
      <c r="L34" s="138">
        <f t="shared" si="9"/>
        <v>1272384145</v>
      </c>
      <c r="M34" s="138">
        <f>SUM(M30:M32)</f>
        <v>14.859108528606448</v>
      </c>
      <c r="N34" s="138">
        <f t="shared" si="9"/>
        <v>919000000</v>
      </c>
      <c r="O34" s="138">
        <f>SUM(O30:O32)</f>
        <v>580103040</v>
      </c>
      <c r="P34" s="138">
        <f t="shared" si="9"/>
        <v>3.353830994682952</v>
      </c>
      <c r="Q34" s="138">
        <f t="shared" si="9"/>
        <v>0</v>
      </c>
      <c r="R34" s="138">
        <f t="shared" si="9"/>
        <v>0</v>
      </c>
      <c r="S34" s="138">
        <f t="shared" si="9"/>
        <v>0</v>
      </c>
      <c r="T34" s="138">
        <f>SUM(T30:T32)</f>
        <v>17850000000</v>
      </c>
      <c r="U34" s="138">
        <f>SUM(U30:U32)</f>
        <v>19235217899.89</v>
      </c>
      <c r="V34" s="176">
        <f>T34/$T$36*100</f>
        <v>23.894715976472934</v>
      </c>
      <c r="W34" s="77"/>
      <c r="X34" s="77"/>
      <c r="Y34" s="77"/>
      <c r="Z34" s="77"/>
      <c r="AA34" s="77"/>
      <c r="AB34" s="77"/>
      <c r="AC34" s="77"/>
    </row>
    <row r="35" spans="1:29" ht="19.5">
      <c r="A35" s="124"/>
      <c r="B35" s="124"/>
      <c r="C35" s="125"/>
      <c r="D35" s="126"/>
      <c r="E35" s="124"/>
      <c r="F35" s="134"/>
      <c r="G35" s="134"/>
      <c r="H35" s="130"/>
      <c r="I35" s="130"/>
      <c r="J35" s="130"/>
      <c r="K35" s="124"/>
      <c r="L35" s="130"/>
      <c r="M35" s="130"/>
      <c r="N35" s="124"/>
      <c r="O35" s="130"/>
      <c r="P35" s="130"/>
      <c r="Q35" s="124"/>
      <c r="R35" s="140"/>
      <c r="S35" s="124"/>
      <c r="T35" s="130"/>
      <c r="U35" s="607">
        <f>F35+I35+L35+O35</f>
        <v>0</v>
      </c>
      <c r="V35" s="74"/>
      <c r="W35" s="73"/>
      <c r="X35" s="73"/>
      <c r="Y35" s="74"/>
      <c r="Z35" s="78"/>
      <c r="AA35" s="74"/>
      <c r="AB35" s="74"/>
      <c r="AC35" s="73"/>
    </row>
    <row r="36" spans="1:29" ht="19.5">
      <c r="A36" s="141"/>
      <c r="B36" s="141" t="s">
        <v>335</v>
      </c>
      <c r="C36" s="142"/>
      <c r="D36" s="143"/>
      <c r="E36" s="144">
        <f aca="true" t="shared" si="10" ref="E36:P36">E26+E34</f>
        <v>25929768266.481003</v>
      </c>
      <c r="F36" s="144">
        <f t="shared" si="10"/>
        <v>26773388216.449997</v>
      </c>
      <c r="G36" s="145">
        <f t="shared" si="10"/>
        <v>96.62623061151473</v>
      </c>
      <c r="H36" s="144">
        <f t="shared" si="10"/>
        <v>10869121948.158</v>
      </c>
      <c r="I36" s="144">
        <f t="shared" si="10"/>
        <v>15885109332</v>
      </c>
      <c r="J36" s="144">
        <f t="shared" si="10"/>
        <v>101.79917795980852</v>
      </c>
      <c r="K36" s="144">
        <f t="shared" si="10"/>
        <v>9051687033.651001</v>
      </c>
      <c r="L36" s="144">
        <f t="shared" si="10"/>
        <v>10382381286.06</v>
      </c>
      <c r="M36" s="144">
        <f t="shared" si="10"/>
        <v>99.73785575867149</v>
      </c>
      <c r="N36" s="144">
        <f t="shared" si="10"/>
        <v>27401499999.760002</v>
      </c>
      <c r="O36" s="144">
        <f t="shared" si="10"/>
        <v>13295596515</v>
      </c>
      <c r="P36" s="144">
        <f t="shared" si="10"/>
        <v>99.99999999999999</v>
      </c>
      <c r="Q36" s="144">
        <f>Q26</f>
        <v>0</v>
      </c>
      <c r="R36" s="144">
        <f>R26</f>
        <v>0</v>
      </c>
      <c r="S36" s="141"/>
      <c r="T36" s="144">
        <f>T26+T34</f>
        <v>74702708404.55</v>
      </c>
      <c r="U36" s="144">
        <f>U26+U34</f>
        <v>66877280402.509995</v>
      </c>
      <c r="V36" s="144">
        <f>V26+V34</f>
        <v>95.13275409028344</v>
      </c>
      <c r="W36" s="80"/>
      <c r="X36" s="80"/>
      <c r="Y36" s="79"/>
      <c r="Z36" s="79"/>
      <c r="AA36" s="79"/>
      <c r="AB36" s="79"/>
      <c r="AC36" s="76"/>
    </row>
    <row r="37" spans="1:29" ht="16.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72"/>
      <c r="W37" s="72"/>
      <c r="X37" s="72"/>
      <c r="Y37" s="72"/>
      <c r="Z37" s="72"/>
      <c r="AA37" s="72"/>
      <c r="AB37" s="72"/>
      <c r="AC37" s="72"/>
    </row>
    <row r="38" spans="5:11" ht="18">
      <c r="E38" s="144"/>
      <c r="K38" s="144"/>
    </row>
    <row r="39" spans="5:11" ht="18">
      <c r="E39" s="1"/>
      <c r="K39" s="144"/>
    </row>
    <row r="41" ht="15">
      <c r="E41" s="1"/>
    </row>
  </sheetData>
  <sheetProtection/>
  <mergeCells count="4">
    <mergeCell ref="E5:G5"/>
    <mergeCell ref="H5:J5"/>
    <mergeCell ref="K5:M5"/>
    <mergeCell ref="N5:P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9" r:id="rId2"/>
  <headerFooter>
    <oddHeader>&amp;C&amp;"Comic Sans MS,Normal"&amp;14COMPTE ADMINISTRATIF DE L'
EXERCICE BUDGETAIRE 2017  
CLASSIFICATION ECONOMIQUE                
</oddHeader>
    <oddFooter>&amp;L&amp;14
Reférence:
               LOIS N° 16-003/AU ET N° 17 -013/AU</oddFoot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P15"/>
  <sheetViews>
    <sheetView zoomScalePageLayoutView="0" workbookViewId="0" topLeftCell="A2">
      <selection activeCell="O12" sqref="O12"/>
    </sheetView>
  </sheetViews>
  <sheetFormatPr defaultColWidth="11.421875" defaultRowHeight="15"/>
  <cols>
    <col min="1" max="1" width="8.00390625" style="0" customWidth="1"/>
    <col min="2" max="2" width="49.140625" style="0" customWidth="1"/>
    <col min="3" max="3" width="21.57421875" style="0" customWidth="1"/>
    <col min="4" max="4" width="22.7109375" style="0" customWidth="1"/>
    <col min="5" max="5" width="13.28125" style="0" customWidth="1"/>
    <col min="6" max="6" width="19.421875" style="0" customWidth="1"/>
    <col min="7" max="7" width="18.421875" style="0" bestFit="1" customWidth="1"/>
    <col min="8" max="8" width="13.140625" style="0" customWidth="1"/>
    <col min="9" max="9" width="20.57421875" style="0" customWidth="1"/>
    <col min="10" max="10" width="19.57421875" style="0" customWidth="1"/>
    <col min="11" max="11" width="11.00390625" style="0" customWidth="1"/>
    <col min="12" max="13" width="20.57421875" style="0" customWidth="1"/>
    <col min="14" max="14" width="11.57421875" style="0" bestFit="1" customWidth="1"/>
    <col min="15" max="15" width="19.28125" style="0" bestFit="1" customWidth="1"/>
    <col min="16" max="16" width="12.140625" style="0" customWidth="1"/>
  </cols>
  <sheetData>
    <row r="2" spans="1:14" ht="17.25" customHeight="1">
      <c r="A2" s="180"/>
      <c r="C2" s="662" t="s">
        <v>200</v>
      </c>
      <c r="D2" s="662"/>
      <c r="E2" s="662"/>
      <c r="F2" s="663" t="s">
        <v>201</v>
      </c>
      <c r="G2" s="664"/>
      <c r="H2" s="664"/>
      <c r="I2" s="663" t="s">
        <v>207</v>
      </c>
      <c r="J2" s="664"/>
      <c r="K2" s="664"/>
      <c r="L2" s="663" t="s">
        <v>456</v>
      </c>
      <c r="M2" s="664"/>
      <c r="N2" s="664"/>
    </row>
    <row r="3" spans="1:16" ht="35.25" customHeight="1" thickBot="1">
      <c r="A3" s="150" t="s">
        <v>1</v>
      </c>
      <c r="B3" s="150" t="s">
        <v>455</v>
      </c>
      <c r="C3" s="151" t="s">
        <v>707</v>
      </c>
      <c r="D3" s="152" t="s">
        <v>703</v>
      </c>
      <c r="E3" s="152" t="s">
        <v>720</v>
      </c>
      <c r="F3" s="151" t="s">
        <v>707</v>
      </c>
      <c r="G3" s="152" t="s">
        <v>703</v>
      </c>
      <c r="H3" s="152" t="s">
        <v>720</v>
      </c>
      <c r="I3" s="153" t="s">
        <v>707</v>
      </c>
      <c r="J3" s="152" t="s">
        <v>703</v>
      </c>
      <c r="K3" s="152" t="s">
        <v>720</v>
      </c>
      <c r="L3" s="606" t="s">
        <v>702</v>
      </c>
      <c r="M3" s="155" t="s">
        <v>703</v>
      </c>
      <c r="N3" s="152" t="s">
        <v>720</v>
      </c>
      <c r="O3" s="154" t="s">
        <v>721</v>
      </c>
      <c r="P3" s="605" t="s">
        <v>714</v>
      </c>
    </row>
    <row r="4" spans="1:15" ht="30" customHeight="1" thickTop="1">
      <c r="A4" s="156" t="s">
        <v>4</v>
      </c>
      <c r="B4" s="157" t="s">
        <v>514</v>
      </c>
      <c r="C4" s="158">
        <f>'c.administrative et fonctionnel'!F5+'c.administrative et fonctionnel'!F54+'c.administrative et fonctionnel'!F59+'c.administrative et fonctionnel'!F76+'c.administrative et fonctionnel'!F81+'c.administrative et fonctionnel'!F90+'c.administrative et fonctionnel'!F109+'c.administrative et fonctionnel'!F136+'c.administrative et fonctionnel'!F155+'c.administrative et fonctionnel'!F171+'c.administrative et fonctionnel'!F314+'c.administrative et fonctionnel'!F406+'c.administrative et fonctionnel'!F419+'c.administrative et fonctionnel'!F427+'c.administrative et fonctionnel'!F432+'c.administrative et fonctionnel'!F438+'c.administrative et fonctionnel'!F442+'c.administrative et fonctionnel'!F447+'c.administrative et fonctionnel'!F452+'c.administrative et fonctionnel'!F457+'c.administrative et fonctionnel'!F462+'c.administrative et fonctionnel'!F466+'c.administrative et fonctionnel'!F470+'c.administrative et fonctionnel'!F475+'c.administrative et fonctionnel'!F480+'c.administrative et fonctionnel'!F485+'c.administrative et fonctionnel'!F489+'c.administrative et fonctionnel'!F494+'c.administrative et fonctionnel'!F502+'c.administrative et fonctionnel'!F507+'c.administrative et fonctionnel'!F512+'c.administrative et fonctionnel'!F517+'c.administrative et fonctionnel'!F522+'c.administrative et fonctionnel'!F527+'c.administrative et fonctionnel'!F541+'c.administrative et fonctionnel'!F547+'c.administrative et fonctionnel'!F555+'c.administrative et fonctionnel'!F563+'c.administrative et fonctionnel'!F570+'c.administrative et fonctionnel'!F576+'c.administrative et fonctionnel'!F582+'c.administrative et fonctionnel'!F589+'c.administrative et fonctionnel'!F594+'c.administrative et fonctionnel'!F599+'c.administrative et fonctionnel'!F608+'c.administrative et fonctionnel'!F613+'c.administrative et fonctionnel'!F618+'c.administrative et fonctionnel'!F622+'c.administrative et fonctionnel'!F630+'c.administrative et fonctionnel'!F635+'c.administrative et fonctionnel'!F642+'c.administrative et fonctionnel'!F948+'c.administrative et fonctionnel'!F1063+'c.administrative et fonctionnel'!F1126+'c.administrative et fonctionnel'!F1231+'c.administrative et fonctionnel'!F1234+'c.administrative et fonctionnel'!F136</f>
        <v>4514799492</v>
      </c>
      <c r="D4" s="158">
        <f>'c.administrative et fonctionnel'!G5+'c.administrative et fonctionnel'!G54+'c.administrative et fonctionnel'!G59+'c.administrative et fonctionnel'!G76+'c.administrative et fonctionnel'!G81+'c.administrative et fonctionnel'!G90+'c.administrative et fonctionnel'!G109+'c.administrative et fonctionnel'!G136+'c.administrative et fonctionnel'!G155+'c.administrative et fonctionnel'!G171+'c.administrative et fonctionnel'!G314+'c.administrative et fonctionnel'!G406+'c.administrative et fonctionnel'!G419+'c.administrative et fonctionnel'!G427+'c.administrative et fonctionnel'!G432+'c.administrative et fonctionnel'!G438+'c.administrative et fonctionnel'!G442+'c.administrative et fonctionnel'!G447+'c.administrative et fonctionnel'!G452+'c.administrative et fonctionnel'!G457+'c.administrative et fonctionnel'!G462+'c.administrative et fonctionnel'!G466+'c.administrative et fonctionnel'!G470+'c.administrative et fonctionnel'!G475+'c.administrative et fonctionnel'!G480+'c.administrative et fonctionnel'!G485+'c.administrative et fonctionnel'!G489+'c.administrative et fonctionnel'!G494+'c.administrative et fonctionnel'!G502+'c.administrative et fonctionnel'!G507+'c.administrative et fonctionnel'!G512+'c.administrative et fonctionnel'!G517+'c.administrative et fonctionnel'!G522+'c.administrative et fonctionnel'!G527+'c.administrative et fonctionnel'!G541+'c.administrative et fonctionnel'!G547+'c.administrative et fonctionnel'!G555+'c.administrative et fonctionnel'!G563+'c.administrative et fonctionnel'!G570+'c.administrative et fonctionnel'!G576+'c.administrative et fonctionnel'!G582+'c.administrative et fonctionnel'!G589+'c.administrative et fonctionnel'!G594+'c.administrative et fonctionnel'!G599+'c.administrative et fonctionnel'!G608+'c.administrative et fonctionnel'!G613+'c.administrative et fonctionnel'!G618+'c.administrative et fonctionnel'!G622+'c.administrative et fonctionnel'!G630+'c.administrative et fonctionnel'!G635+'c.administrative et fonctionnel'!G642+'c.administrative et fonctionnel'!G948+'c.administrative et fonctionnel'!G1063+'c.administrative et fonctionnel'!G1126+'c.administrative et fonctionnel'!G1231+'c.administrative et fonctionnel'!G1234+'c.administrative et fonctionnel'!G136</f>
        <v>4179054248.5000005</v>
      </c>
      <c r="E4" s="159">
        <f>C4/$C$14</f>
        <v>0.378232278013218</v>
      </c>
      <c r="F4" s="158">
        <f>5078691359+1778856</f>
        <v>5080470215</v>
      </c>
      <c r="G4" s="158">
        <v>11594127305</v>
      </c>
      <c r="H4" s="159">
        <f>F4/$F$14</f>
        <v>0.6327628872031532</v>
      </c>
      <c r="I4" s="158">
        <f>'prévision 2017'!I25+'prévision 2017'!I26+'prévision 2017'!I950+'prévision 2017'!I1258+'prévision 2017'!I1274+'c.administrative et fonctionnel'!F639+'c.administrative et fonctionnel'!F536</f>
        <v>801551536</v>
      </c>
      <c r="J4" s="158">
        <v>2755376449</v>
      </c>
      <c r="K4" s="159">
        <f>I4/$I$14</f>
        <v>0.11016491628358699</v>
      </c>
      <c r="L4" s="158">
        <f>'c.administrative et fonctionnel'!F26+'c.administrative et fonctionnel'!F27+'c.administrative et fonctionnel'!F28+'c.administrative et fonctionnel'!F29+'c.administrative et fonctionnel'!F30+'c.administrative et fonctionnel'!F31+'c.administrative et fonctionnel'!F186+'c.administrative et fonctionnel'!F187+'c.administrative et fonctionnel'!F188+'c.administrative et fonctionnel'!F320+'c.administrative et fonctionnel'!F498+'c.administrative et fonctionnel'!F499+'c.administrative et fonctionnel'!F533+'c.administrative et fonctionnel'!F552+'c.administrative et fonctionnel'!F1269+'c.administrative et fonctionnel'!F1275+'c.administrative et fonctionnel'!F1282+'c.administrative et fonctionnel'!F1283+'c.administrative et fonctionnel'!F1284+'c.administrative et fonctionnel'!F1287</f>
        <v>5333761215.24</v>
      </c>
      <c r="M4" s="158">
        <f>'c.administrative et fonctionnel'!G26+'c.administrative et fonctionnel'!G27+'c.administrative et fonctionnel'!G28+'c.administrative et fonctionnel'!G29+'c.administrative et fonctionnel'!G30+'c.administrative et fonctionnel'!G31+'c.administrative et fonctionnel'!G186+'c.administrative et fonctionnel'!G187+'c.administrative et fonctionnel'!G188+'c.administrative et fonctionnel'!G320+'c.administrative et fonctionnel'!G498+'c.administrative et fonctionnel'!G499+'c.administrative et fonctionnel'!G533+'c.administrative et fonctionnel'!G552+'c.administrative et fonctionnel'!G1269+'c.administrative et fonctionnel'!G1275+'c.administrative et fonctionnel'!G1282+'c.administrative et fonctionnel'!G1283+'c.administrative et fonctionnel'!G1284+'c.administrative et fonctionnel'!G1287</f>
        <v>4063140789</v>
      </c>
      <c r="N4" s="159">
        <f>L4/$L$14</f>
        <v>0.2014070127551529</v>
      </c>
      <c r="O4" s="158">
        <f>C4+F4+I4+L4</f>
        <v>15730582458.24</v>
      </c>
    </row>
    <row r="5" spans="1:15" ht="30" customHeight="1">
      <c r="A5" s="156" t="s">
        <v>17</v>
      </c>
      <c r="B5" s="157" t="s">
        <v>515</v>
      </c>
      <c r="C5" s="158">
        <f>'c.administrative et fonctionnel'!F160</f>
        <v>3853203561.2209997</v>
      </c>
      <c r="D5" s="158">
        <f>'c.administrative et fonctionnel'!G160</f>
        <v>3880490142</v>
      </c>
      <c r="E5" s="159">
        <f aca="true" t="shared" si="0" ref="E5:E13">C5/$C$14</f>
        <v>0.3228063534586007</v>
      </c>
      <c r="F5" s="158">
        <f>'c.administrative et fonctionnel'!F162</f>
        <v>1081533486</v>
      </c>
      <c r="G5" s="158">
        <f>'c.administrative et fonctionnel'!G162</f>
        <v>1081533487</v>
      </c>
      <c r="H5" s="159">
        <f aca="true" t="shared" si="1" ref="H5:H13">F5/$F$14</f>
        <v>0.134702935406984</v>
      </c>
      <c r="I5" s="158">
        <f>'c.administrative et fonctionnel'!F163+'c.administrative et fonctionnel'!F164</f>
        <v>85101239</v>
      </c>
      <c r="J5" s="158">
        <v>11721022</v>
      </c>
      <c r="K5" s="159">
        <f aca="true" t="shared" si="2" ref="K5:K13">I5/$I$14</f>
        <v>0.011696279589020123</v>
      </c>
      <c r="L5" s="158">
        <f>'c.administrative et fonctionnel'!F165</f>
        <v>0</v>
      </c>
      <c r="M5" s="158">
        <f>'c.administrative et fonctionnel'!G27+'c.administrative et fonctionnel'!G28+'c.administrative et fonctionnel'!G29+'c.administrative et fonctionnel'!G30+'c.administrative et fonctionnel'!G31+'c.administrative et fonctionnel'!G32+'c.administrative et fonctionnel'!G187+'c.administrative et fonctionnel'!G188+'c.administrative et fonctionnel'!G189+'c.administrative et fonctionnel'!G321+'c.administrative et fonctionnel'!G499+'c.administrative et fonctionnel'!G500+'c.administrative et fonctionnel'!G534+'c.administrative et fonctionnel'!G553+'c.administrative et fonctionnel'!G1270+'c.administrative et fonctionnel'!G1276+'c.administrative et fonctionnel'!G1283+'c.administrative et fonctionnel'!G1284+'c.administrative et fonctionnel'!G1285+'c.administrative et fonctionnel'!G1288</f>
        <v>5332957519.44</v>
      </c>
      <c r="N5" s="159">
        <f aca="true" t="shared" si="3" ref="N5:N13">L5/$L$14</f>
        <v>0</v>
      </c>
      <c r="O5" s="158">
        <f aca="true" t="shared" si="4" ref="O5:O13">C5+F5+I5+L5</f>
        <v>5019838286.221</v>
      </c>
    </row>
    <row r="6" spans="1:15" ht="30" customHeight="1">
      <c r="A6" s="156" t="s">
        <v>22</v>
      </c>
      <c r="B6" s="157" t="s">
        <v>516</v>
      </c>
      <c r="C6" s="158">
        <f>'c.administrative et fonctionnel'!F35+'c.administrative et fonctionnel'!F117+'c.administrative et fonctionnel'!F149+'c.administrative et fonctionnel'!F292+'c.administrative et fonctionnel'!F300+'c.administrative et fonctionnel'!F307+'c.administrative et fonctionnel'!F323+'c.administrative et fonctionnel'!F328+'c.administrative et fonctionnel'!F360+'c.administrative et fonctionnel'!F367+'c.administrative et fonctionnel'!F378+'c.administrative et fonctionnel'!F383+'c.administrative et fonctionnel'!F388+'c.administrative et fonctionnel'!F1023+'c.administrative et fonctionnel'!F1033+'c.administrative et fonctionnel'!F1071</f>
        <v>1896020063</v>
      </c>
      <c r="D6" s="158">
        <f>'c.administrative et fonctionnel'!G35+'c.administrative et fonctionnel'!G117+'c.administrative et fonctionnel'!G149+'c.administrative et fonctionnel'!G292+'c.administrative et fonctionnel'!G300+'c.administrative et fonctionnel'!G307+'c.administrative et fonctionnel'!G323+'c.administrative et fonctionnel'!G328+'c.administrative et fonctionnel'!G360+'c.administrative et fonctionnel'!G367+'c.administrative et fonctionnel'!G378+'c.administrative et fonctionnel'!G383+'c.administrative et fonctionnel'!G388+'c.administrative et fonctionnel'!G1023+'c.administrative et fonctionnel'!G1033+'c.administrative et fonctionnel'!G1071</f>
        <v>1822769547.26</v>
      </c>
      <c r="E6" s="159">
        <f t="shared" si="0"/>
        <v>0.15884115980299554</v>
      </c>
      <c r="F6" s="158">
        <f>'c.administrative et fonctionnel'!F36+'c.administrative et fonctionnel'!F37+'c.administrative et fonctionnel'!F38+'c.administrative et fonctionnel'!F38+'c.administrative et fonctionnel'!F39++'c.administrative et fonctionnel'!F40+'c.administrative et fonctionnel'!F41+'c.administrative et fonctionnel'!F42+'c.administrative et fonctionnel'!F43+'c.administrative et fonctionnel'!F44+'c.administrative et fonctionnel'!F45+'c.administrative et fonctionnel'!F46+'c.administrative et fonctionnel'!F47+'c.administrative et fonctionnel'!F48+'c.administrative et fonctionnel'!F119+'c.administrative et fonctionnel'!F120+'c.administrative et fonctionnel'!F121+'c.administrative et fonctionnel'!F122+'c.administrative et fonctionnel'!F123+'c.administrative et fonctionnel'!F124+'c.administrative et fonctionnel'!F125+'c.administrative et fonctionnel'!F126+'c.administrative et fonctionnel'!F127+'c.administrative et fonctionnel'!F128+'c.administrative et fonctionnel'!F129+'c.administrative et fonctionnel'!F150+'c.administrative et fonctionnel'!F151+'c.administrative et fonctionnel'!F152+'c.administrative et fonctionnel'!F294+'c.administrative et fonctionnel'!F295+'c.administrative et fonctionnel'!F296+'c.administrative et fonctionnel'!F297+'c.administrative et fonctionnel'!F301+'c.administrative et fonctionnel'!F302+'c.administrative et fonctionnel'!F303+'c.administrative et fonctionnel'!F304+'c.administrative et fonctionnel'!F308+'c.administrative et fonctionnel'!F309+'c.administrative et fonctionnel'!F310+'c.administrative et fonctionnel'!F324+'c.administrative et fonctionnel'!F325+'c.administrative et fonctionnel'!F329+'c.administrative et fonctionnel'!F330+'c.administrative et fonctionnel'!F333+'c.administrative et fonctionnel'!F334+'c.administrative et fonctionnel'!F337+'c.administrative et fonctionnel'!F338+'c.administrative et fonctionnel'!F341+'c.administrative et fonctionnel'!F342+'c.administrative et fonctionnel'!F345+'c.administrative et fonctionnel'!F346+'c.administrative et fonctionnel'!F349+'c.administrative et fonctionnel'!F351+'c.administrative et fonctionnel'!F352+'c.administrative et fonctionnel'!F353+'c.administrative et fonctionnel'!F356+'c.administrative et fonctionnel'!F357+'c.administrative et fonctionnel'!F361+'c.administrative et fonctionnel'!F362+'c.administrative et fonctionnel'!F363+'c.administrative et fonctionnel'!F364+'c.administrative et fonctionnel'!F368+'c.administrative et fonctionnel'!F369+'c.administrative et fonctionnel'!F370+'c.administrative et fonctionnel'!F379+'c.administrative et fonctionnel'!F380+'c.administrative et fonctionnel'!F384+'c.administrative et fonctionnel'!F385+'c.administrative et fonctionnel'!F389+'c.administrative et fonctionnel'!F390+'c.administrative et fonctionnel'!F391+'c.administrative et fonctionnel'!F392+'c.administrative et fonctionnel'!F393+'c.administrative et fonctionnel'!F394+'c.administrative et fonctionnel'!F395+'c.administrative et fonctionnel'!F396+'c.administrative et fonctionnel'!F560+'c.administrative et fonctionnel'!F1024+'c.administrative et fonctionnel'!F1025+'c.administrative et fonctionnel'!F1026+'c.administrative et fonctionnel'!F1027+'c.administrative et fonctionnel'!F1028+'c.administrative et fonctionnel'!F1029+'c.administrative et fonctionnel'!F1034+'c.administrative et fonctionnel'!F1035+'c.administrative et fonctionnel'!F1036+'c.administrative et fonctionnel'!F1037+'c.administrative et fonctionnel'!F1072+'c.administrative et fonctionnel'!F1073+'c.administrative et fonctionnel'!F1074+'c.administrative et fonctionnel'!F1075+'c.administrative et fonctionnel'!F1079+'c.administrative et fonctionnel'!F1080+'c.administrative et fonctionnel'!F1081+'c.administrative et fonctionnel'!F1084+'c.administrative et fonctionnel'!F1085+'c.administrative et fonctionnel'!F1086+'c.administrative et fonctionnel'!F1090+'c.administrative et fonctionnel'!F1091+'c.administrative et fonctionnel'!F1092+'c.administrative et fonctionnel'!F1093+'c.administrative et fonctionnel'!F1094+'c.administrative et fonctionnel'!F1095+'c.administrative et fonctionnel'!F1096+'c.administrative et fonctionnel'!F1097+'c.administrative et fonctionnel'!F1098+'c.administrative et fonctionnel'!F1099+'c.administrative et fonctionnel'!F1100+'c.administrative et fonctionnel'!F1101+'c.administrative et fonctionnel'!F1109+'c.administrative et fonctionnel'!F1110+'c.administrative et fonctionnel'!F1111+'c.administrative et fonctionnel'!F1112+'c.administrative et fonctionnel'!F1113+'c.administrative et fonctionnel'!F1116+'c.administrative et fonctionnel'!F1117+'c.administrative et fonctionnel'!F1123</f>
        <v>1603815509</v>
      </c>
      <c r="G6" s="158">
        <f>'c.administrative et fonctionnel'!G36+'c.administrative et fonctionnel'!G37+'c.administrative et fonctionnel'!G38+'c.administrative et fonctionnel'!G38+'c.administrative et fonctionnel'!G39++'c.administrative et fonctionnel'!G40+'c.administrative et fonctionnel'!G41+'c.administrative et fonctionnel'!G42+'c.administrative et fonctionnel'!G43+'c.administrative et fonctionnel'!G44+'c.administrative et fonctionnel'!G45+'c.administrative et fonctionnel'!G46+'c.administrative et fonctionnel'!G47+'c.administrative et fonctionnel'!G48+'c.administrative et fonctionnel'!G119+'c.administrative et fonctionnel'!G120+'c.administrative et fonctionnel'!G121+'c.administrative et fonctionnel'!G122+'c.administrative et fonctionnel'!G123+'c.administrative et fonctionnel'!G124+'c.administrative et fonctionnel'!G125+'c.administrative et fonctionnel'!G126+'c.administrative et fonctionnel'!G127+'c.administrative et fonctionnel'!G128+'c.administrative et fonctionnel'!G129+'c.administrative et fonctionnel'!G150+'c.administrative et fonctionnel'!G151+'c.administrative et fonctionnel'!G152+'c.administrative et fonctionnel'!G294+'c.administrative et fonctionnel'!G295+'c.administrative et fonctionnel'!G296+'c.administrative et fonctionnel'!G297+'c.administrative et fonctionnel'!G301+'c.administrative et fonctionnel'!G302+'c.administrative et fonctionnel'!G303+'c.administrative et fonctionnel'!G304+'c.administrative et fonctionnel'!G308+'c.administrative et fonctionnel'!G309+'c.administrative et fonctionnel'!G310+'c.administrative et fonctionnel'!G324+'c.administrative et fonctionnel'!G325+'c.administrative et fonctionnel'!G329+'c.administrative et fonctionnel'!G330+'c.administrative et fonctionnel'!G333+'c.administrative et fonctionnel'!G334+'c.administrative et fonctionnel'!G337+'c.administrative et fonctionnel'!G338+'c.administrative et fonctionnel'!G341+'c.administrative et fonctionnel'!G342+'c.administrative et fonctionnel'!G345+'c.administrative et fonctionnel'!G346+'c.administrative et fonctionnel'!G349+'c.administrative et fonctionnel'!G351+'c.administrative et fonctionnel'!G352+'c.administrative et fonctionnel'!G353+'c.administrative et fonctionnel'!G356+'c.administrative et fonctionnel'!G357+'c.administrative et fonctionnel'!G361+'c.administrative et fonctionnel'!G362+'c.administrative et fonctionnel'!G363+'c.administrative et fonctionnel'!G364+'c.administrative et fonctionnel'!G368+'c.administrative et fonctionnel'!G369+'c.administrative et fonctionnel'!G370+'c.administrative et fonctionnel'!G379+'c.administrative et fonctionnel'!G380+'c.administrative et fonctionnel'!G384+'c.administrative et fonctionnel'!G385+'c.administrative et fonctionnel'!G389+'c.administrative et fonctionnel'!G390+'c.administrative et fonctionnel'!G391+'c.administrative et fonctionnel'!G392+'c.administrative et fonctionnel'!G393+'c.administrative et fonctionnel'!G394+'c.administrative et fonctionnel'!G395+'c.administrative et fonctionnel'!G396+'c.administrative et fonctionnel'!G560+'c.administrative et fonctionnel'!G1024+'c.administrative et fonctionnel'!G1025+'c.administrative et fonctionnel'!G1026+'c.administrative et fonctionnel'!G1027+'c.administrative et fonctionnel'!G1028+'c.administrative et fonctionnel'!G1029+'c.administrative et fonctionnel'!G1034+'c.administrative et fonctionnel'!G1035+'c.administrative et fonctionnel'!G1036+'c.administrative et fonctionnel'!G1037+'c.administrative et fonctionnel'!G1072+'c.administrative et fonctionnel'!G1073+'c.administrative et fonctionnel'!G1074+'c.administrative et fonctionnel'!G1075+'c.administrative et fonctionnel'!G1079+'c.administrative et fonctionnel'!G1080+'c.administrative et fonctionnel'!G1081+'c.administrative et fonctionnel'!G1084+'c.administrative et fonctionnel'!G1085+'c.administrative et fonctionnel'!G1086+'c.administrative et fonctionnel'!G1090+'c.administrative et fonctionnel'!G1091+'c.administrative et fonctionnel'!G1092+'c.administrative et fonctionnel'!G1093+'c.administrative et fonctionnel'!G1094+'c.administrative et fonctionnel'!G1095+'c.administrative et fonctionnel'!G1096+'c.administrative et fonctionnel'!G1097+'c.administrative et fonctionnel'!G1098+'c.administrative et fonctionnel'!G1099+'c.administrative et fonctionnel'!G1100+'c.administrative et fonctionnel'!G1101+'c.administrative et fonctionnel'!G1109+'c.administrative et fonctionnel'!G1110+'c.administrative et fonctionnel'!G1111+'c.administrative et fonctionnel'!G1112+'c.administrative et fonctionnel'!G1113+'c.administrative et fonctionnel'!G1116+'c.administrative et fonctionnel'!G1117+'c.administrative et fonctionnel'!G1123</f>
        <v>1023584641</v>
      </c>
      <c r="H6" s="159">
        <f t="shared" si="1"/>
        <v>0.19975216644706476</v>
      </c>
      <c r="I6" s="158">
        <f>'c.administrative et fonctionnel'!F49+'c.administrative et fonctionnel'!F130+'c.administrative et fonctionnel'!F311+'c.administrative et fonctionnel'!F371+'c.administrative et fonctionnel'!F396+'c.administrative et fonctionnel'!F1102+'c.administrative et fonctionnel'!F1103</f>
        <v>28724040</v>
      </c>
      <c r="J6" s="158">
        <v>0</v>
      </c>
      <c r="K6" s="159">
        <f t="shared" si="2"/>
        <v>0.0039478203456732</v>
      </c>
      <c r="L6" s="158">
        <f>'c.administrative et fonctionnel'!F50+'c.administrative et fonctionnel'!F51+'c.administrative et fonctionnel'!F131+'c.administrative et fonctionnel'!F132+'c.administrative et fonctionnel'!F133+'c.administrative et fonctionnel'!F400+'c.administrative et fonctionnel'!F401+'c.administrative et fonctionnel'!F1030+'c.administrative et fonctionnel'!F1103+'c.administrative et fonctionnel'!F1104+'c.administrative et fonctionnel'!F1105+'c.administrative et fonctionnel'!F1106</f>
        <v>316623400</v>
      </c>
      <c r="M6" s="158">
        <f>'c.administrative et fonctionnel'!G28+'c.administrative et fonctionnel'!G29+'c.administrative et fonctionnel'!G30+'c.administrative et fonctionnel'!G31+'c.administrative et fonctionnel'!G32+'c.administrative et fonctionnel'!G33+'c.administrative et fonctionnel'!G188+'c.administrative et fonctionnel'!G189+'c.administrative et fonctionnel'!G190+'c.administrative et fonctionnel'!G322+'c.administrative et fonctionnel'!G500+'c.administrative et fonctionnel'!G501+'c.administrative et fonctionnel'!G535+'c.administrative et fonctionnel'!G554+'c.administrative et fonctionnel'!G1271+'c.administrative et fonctionnel'!G1277+'c.administrative et fonctionnel'!G1284+'c.administrative et fonctionnel'!G1285+'c.administrative et fonctionnel'!G1286+'c.administrative et fonctionnel'!G1289</f>
        <v>2719734252.01</v>
      </c>
      <c r="N6" s="159">
        <f t="shared" si="3"/>
        <v>0.01195594826783232</v>
      </c>
      <c r="O6" s="158">
        <f t="shared" si="4"/>
        <v>3845183012</v>
      </c>
    </row>
    <row r="7" spans="1:15" ht="30" customHeight="1">
      <c r="A7" s="156" t="s">
        <v>24</v>
      </c>
      <c r="B7" s="157" t="s">
        <v>517</v>
      </c>
      <c r="C7" s="158">
        <f>'prévision 2017'!I877+'c.administrative et fonctionnel'!F648+'c.administrative et fonctionnel'!F656+'c.administrative et fonctionnel'!F663+'c.administrative et fonctionnel'!F671+'c.administrative et fonctionnel'!F676+'c.administrative et fonctionnel'!F690+'c.administrative et fonctionnel'!F696+'c.administrative et fonctionnel'!F703+'c.administrative et fonctionnel'!F709+'c.administrative et fonctionnel'!F716+'c.administrative et fonctionnel'!F730+'c.administrative et fonctionnel'!F759+'c.administrative et fonctionnel'!F766+'c.administrative et fonctionnel'!F778+'c.administrative et fonctionnel'!F785+'c.administrative et fonctionnel'!F796+'c.administrative et fonctionnel'!F802+'c.administrative et fonctionnel'!F809+'c.administrative et fonctionnel'!F819+'c.administrative et fonctionnel'!F837+'c.administrative et fonctionnel'!F842+'c.administrative et fonctionnel'!F843+'c.administrative et fonctionnel'!F861+'c.administrative et fonctionnel'!F944+'c.administrative et fonctionnel'!F1132++'c.administrative et fonctionnel'!F1143+'c.administrative et fonctionnel'!F1150+'c.administrative et fonctionnel'!F1151+'c.administrative et fonctionnel'!F1164+'c.administrative et fonctionnel'!F1165+'c.administrative et fonctionnel'!F1176+'c.administrative et fonctionnel'!F1177+'c.administrative et fonctionnel'!F1199+'c.administrative et fonctionnel'!F1200</f>
        <v>567382658.7</v>
      </c>
      <c r="D7" s="158">
        <f>'prévision 2017'!J877+'c.administrative et fonctionnel'!G648+'c.administrative et fonctionnel'!G656+'c.administrative et fonctionnel'!G663+'c.administrative et fonctionnel'!G671+'c.administrative et fonctionnel'!G676+'c.administrative et fonctionnel'!G690+'c.administrative et fonctionnel'!G696+'c.administrative et fonctionnel'!G703+'c.administrative et fonctionnel'!G709+'c.administrative et fonctionnel'!G716+'c.administrative et fonctionnel'!G730+'c.administrative et fonctionnel'!G759+'c.administrative et fonctionnel'!G766+'c.administrative et fonctionnel'!G778+'c.administrative et fonctionnel'!G785+'c.administrative et fonctionnel'!G796+'c.administrative et fonctionnel'!G802+'c.administrative et fonctionnel'!G809+'c.administrative et fonctionnel'!G819+'c.administrative et fonctionnel'!G837+'c.administrative et fonctionnel'!G842+'c.administrative et fonctionnel'!G843+'c.administrative et fonctionnel'!G861+'c.administrative et fonctionnel'!G944+'c.administrative et fonctionnel'!G1132++'c.administrative et fonctionnel'!G1143+'c.administrative et fonctionnel'!G1150+'c.administrative et fonctionnel'!G1151+'c.administrative et fonctionnel'!G1164+'c.administrative et fonctionnel'!G1165+'c.administrative et fonctionnel'!G1176+'c.administrative et fonctionnel'!G1177+'c.administrative et fonctionnel'!G1199+'c.administrative et fonctionnel'!G1200</f>
        <v>607153819.37</v>
      </c>
      <c r="E7" s="159">
        <f t="shared" si="0"/>
        <v>0.0475331043793998</v>
      </c>
      <c r="F7" s="158">
        <f>'c.administrative et fonctionnel'!F649+'c.administrative et fonctionnel'!F651+'c.administrative et fonctionnel'!F652+'c.administrative et fonctionnel'!F653+'c.administrative et fonctionnel'!F657+'c.administrative et fonctionnel'!F658+'c.administrative et fonctionnel'!F659+'c.administrative et fonctionnel'!F660+'c.administrative et fonctionnel'!F664+'c.administrative et fonctionnel'!F666+'c.administrative et fonctionnel'!F667+'c.administrative et fonctionnel'!F668+'c.administrative et fonctionnel'!F672+'c.administrative et fonctionnel'!F673+'c.administrative et fonctionnel'!F677+'c.administrative et fonctionnel'!F678+'c.administrative et fonctionnel'!F681+'c.administrative et fonctionnel'!F682+'c.administrative et fonctionnel'!F691+'c.administrative et fonctionnel'!F692+'c.administrative et fonctionnel'!F693+'c.administrative et fonctionnel'!F697+'c.administrative et fonctionnel'!F698+'c.administrative et fonctionnel'!F699+'c.administrative et fonctionnel'!F700+'c.administrative et fonctionnel'!F704+'c.administrative et fonctionnel'!F705+'c.administrative et fonctionnel'!F706+'c.administrative et fonctionnel'!F710+'c.administrative et fonctionnel'!F711+'c.administrative et fonctionnel'!F717+'c.administrative et fonctionnel'!F718+'c.administrative et fonctionnel'!F719+'c.administrative et fonctionnel'!F720+'c.administrative et fonctionnel'!F721+'c.administrative et fonctionnel'!F731+'c.administrative et fonctionnel'!F732+'c.administrative et fonctionnel'!F733+'c.administrative et fonctionnel'!F737+'c.administrative et fonctionnel'!F738+'c.administrative et fonctionnel'!F739+'c.administrative et fonctionnel'!F740+'c.administrative et fonctionnel'!F760+'c.administrative et fonctionnel'!F761+'c.administrative et fonctionnel'!F767+'c.administrative et fonctionnel'!F768+'c.administrative et fonctionnel'!F779+'c.administrative et fonctionnel'!F780+'c.administrative et fonctionnel'!F781+'c.administrative et fonctionnel'!F786+'c.administrative et fonctionnel'!F787+'c.administrative et fonctionnel'!F788+'c.administrative et fonctionnel'!F789+'c.administrative et fonctionnel'!F790+'c.administrative et fonctionnel'!F797+'c.administrative et fonctionnel'!F798+'c.administrative et fonctionnel'!F799+'c.administrative et fonctionnel'!F803+'c.administrative et fonctionnel'!F804+'c.administrative et fonctionnel'!F805+'c.administrative et fonctionnel'!F810+'c.administrative et fonctionnel'!F811+'c.administrative et fonctionnel'!F812+'c.administrative et fonctionnel'!F820+'c.administrative et fonctionnel'!F821+'c.administrative et fonctionnel'!F822+'c.administrative et fonctionnel'!F827+'c.administrative et fonctionnel'!F832+'c.administrative et fonctionnel'!F833+'c.administrative et fonctionnel'!F834+'c.administrative et fonctionnel'!F844+'c.administrative et fonctionnel'!F845+'c.administrative et fonctionnel'!F846+'c.administrative et fonctionnel'!F847+'c.administrative et fonctionnel'!F848+'c.administrative et fonctionnel'!F849+'c.administrative et fonctionnel'!F850+'c.administrative et fonctionnel'!F857+'c.administrative et fonctionnel'!F858+'c.administrative et fonctionnel'!F862+'c.administrative et fonctionnel'!F863+'c.administrative et fonctionnel'!F864+'c.administrative et fonctionnel'!F876+'c.administrative et fonctionnel'!F1133+'c.administrative et fonctionnel'!F1134+'c.administrative et fonctionnel'!F1135+'c.administrative et fonctionnel'!F1136+'c.administrative et fonctionnel'!F1137+'c.administrative et fonctionnel'!F1138+'c.administrative et fonctionnel'!F1139+'c.administrative et fonctionnel'!F1144+'c.administrative et fonctionnel'!F1145+'c.administrative et fonctionnel'!F1146+'c.administrative et fonctionnel'!F1147+'c.administrative et fonctionnel'!F1152+'c.administrative et fonctionnel'!F1153+'c.administrative et fonctionnel'!F1154+'c.administrative et fonctionnel'!F1155+'c.administrative et fonctionnel'!F1156+'c.administrative et fonctionnel'!F1157+'c.administrative et fonctionnel'!F1158+'c.administrative et fonctionnel'!F1159+'c.administrative et fonctionnel'!F1160+'c.administrative et fonctionnel'!F1166+'c.administrative et fonctionnel'!F1167+'c.administrative et fonctionnel'!F1168+'c.administrative et fonctionnel'!F1169+'c.administrative et fonctionnel'!F1170+'c.administrative et fonctionnel'!F1171+'c.administrative et fonctionnel'!F1172+'c.administrative et fonctionnel'!F1178+'c.administrative et fonctionnel'!F1179+'c.administrative et fonctionnel'!F1180+'c.administrative et fonctionnel'!F1181+'c.administrative et fonctionnel'!F1182+'c.administrative et fonctionnel'!F1183+'c.administrative et fonctionnel'!F1184+'c.administrative et fonctionnel'!F1201+'c.administrative et fonctionnel'!F1202+'c.administrative et fonctionnel'!F1203+'c.administrative et fonctionnel'!F1204+'c.administrative et fonctionnel'!F1205+'c.administrative et fonctionnel'!F1206+'c.administrative et fonctionnel'!F1207+'c.administrative et fonctionnel'!F1208</f>
        <v>94347236.962</v>
      </c>
      <c r="G7" s="158">
        <f>'c.administrative et fonctionnel'!G649+'c.administrative et fonctionnel'!G651+'c.administrative et fonctionnel'!G652+'c.administrative et fonctionnel'!G653+'c.administrative et fonctionnel'!G657+'c.administrative et fonctionnel'!G658+'c.administrative et fonctionnel'!G659+'c.administrative et fonctionnel'!G660+'c.administrative et fonctionnel'!G664+'c.administrative et fonctionnel'!G666+'c.administrative et fonctionnel'!G667+'c.administrative et fonctionnel'!G668+'c.administrative et fonctionnel'!G672+'c.administrative et fonctionnel'!G673+'c.administrative et fonctionnel'!G677+'c.administrative et fonctionnel'!G678+'c.administrative et fonctionnel'!G681+'c.administrative et fonctionnel'!G682+'c.administrative et fonctionnel'!G691+'c.administrative et fonctionnel'!G692+'c.administrative et fonctionnel'!G693+'c.administrative et fonctionnel'!G697+'c.administrative et fonctionnel'!G698+'c.administrative et fonctionnel'!G699+'c.administrative et fonctionnel'!G700+'c.administrative et fonctionnel'!G704+'c.administrative et fonctionnel'!G705+'c.administrative et fonctionnel'!G706+'c.administrative et fonctionnel'!G710+'c.administrative et fonctionnel'!G711+'c.administrative et fonctionnel'!G717+'c.administrative et fonctionnel'!G718+'c.administrative et fonctionnel'!G719+'c.administrative et fonctionnel'!G720+'c.administrative et fonctionnel'!G721+'c.administrative et fonctionnel'!G731+'c.administrative et fonctionnel'!G732+'c.administrative et fonctionnel'!G733+'c.administrative et fonctionnel'!G737+'c.administrative et fonctionnel'!G738+'c.administrative et fonctionnel'!G739+'c.administrative et fonctionnel'!G740+'c.administrative et fonctionnel'!G760+'c.administrative et fonctionnel'!G761+'c.administrative et fonctionnel'!G767+'c.administrative et fonctionnel'!G768+'c.administrative et fonctionnel'!G779+'c.administrative et fonctionnel'!G780+'c.administrative et fonctionnel'!G781+'c.administrative et fonctionnel'!G786+'c.administrative et fonctionnel'!G787+'c.administrative et fonctionnel'!G788+'c.administrative et fonctionnel'!G789+'c.administrative et fonctionnel'!G790+'c.administrative et fonctionnel'!G797+'c.administrative et fonctionnel'!G798+'c.administrative et fonctionnel'!G799+'c.administrative et fonctionnel'!G803+'c.administrative et fonctionnel'!G804+'c.administrative et fonctionnel'!G805+'c.administrative et fonctionnel'!G810+'c.administrative et fonctionnel'!G811+'c.administrative et fonctionnel'!G812+'c.administrative et fonctionnel'!G820+'c.administrative et fonctionnel'!G821+'c.administrative et fonctionnel'!G822+'c.administrative et fonctionnel'!G827+'c.administrative et fonctionnel'!G832+'c.administrative et fonctionnel'!G833+'c.administrative et fonctionnel'!G834+'c.administrative et fonctionnel'!G844+'c.administrative et fonctionnel'!G845+'c.administrative et fonctionnel'!G846+'c.administrative et fonctionnel'!G847+'c.administrative et fonctionnel'!G848+'c.administrative et fonctionnel'!G849+'c.administrative et fonctionnel'!G850+'c.administrative et fonctionnel'!G857+'c.administrative et fonctionnel'!G858+'c.administrative et fonctionnel'!G862+'c.administrative et fonctionnel'!G863+'c.administrative et fonctionnel'!G864+'c.administrative et fonctionnel'!G876+'c.administrative et fonctionnel'!G1133+'c.administrative et fonctionnel'!G1134+'c.administrative et fonctionnel'!G1135+'c.administrative et fonctionnel'!G1136+'c.administrative et fonctionnel'!G1137+'c.administrative et fonctionnel'!G1138+'c.administrative et fonctionnel'!G1139+'c.administrative et fonctionnel'!G1144+'c.administrative et fonctionnel'!G1145+'c.administrative et fonctionnel'!G1146+'c.administrative et fonctionnel'!G1147+'c.administrative et fonctionnel'!G1152+'c.administrative et fonctionnel'!G1153+'c.administrative et fonctionnel'!G1154+'c.administrative et fonctionnel'!G1155+'c.administrative et fonctionnel'!G1156+'c.administrative et fonctionnel'!G1157+'c.administrative et fonctionnel'!G1158+'c.administrative et fonctionnel'!G1159+'c.administrative et fonctionnel'!G1160+'c.administrative et fonctionnel'!G1166+'c.administrative et fonctionnel'!G1167+'c.administrative et fonctionnel'!G1168+'c.administrative et fonctionnel'!G1169+'c.administrative et fonctionnel'!G1170+'c.administrative et fonctionnel'!G1171+'c.administrative et fonctionnel'!G1172+'c.administrative et fonctionnel'!G1178+'c.administrative et fonctionnel'!G1179+'c.administrative et fonctionnel'!G1180+'c.administrative et fonctionnel'!G1181+'c.administrative et fonctionnel'!G1182+'c.administrative et fonctionnel'!G1183+'c.administrative et fonctionnel'!G1184+'c.administrative et fonctionnel'!G1201+'c.administrative et fonctionnel'!G1202+'c.administrative et fonctionnel'!G1203+'c.administrative et fonctionnel'!G1204+'c.administrative et fonctionnel'!G1205+'c.administrative et fonctionnel'!G1206+'c.administrative et fonctionnel'!G1207+'c.administrative et fonctionnel'!G1208</f>
        <v>61414881</v>
      </c>
      <c r="H7" s="159">
        <f t="shared" si="1"/>
        <v>0.011750768636228521</v>
      </c>
      <c r="I7" s="158">
        <f>'prévision 2017'!I687+'prévision 2017'!I724+'prévision 2017'!I736+'prévision 2017'!I793+'prévision 2017'!I840+'prévision 2017'!I853+'prévision 2017'!I867+'prévision 2017'!I874+'prévision 2017'!I879+'prévision 2017'!I946+'prévision 2017'!I1187</f>
        <v>3253113716</v>
      </c>
      <c r="J7" s="158">
        <f>'prévision 2017'!J28+'prévision 2017'!J29+'prévision 2017'!J953+'prévision 2017'!J1261+'prévision 2017'!J1277+'c.administrative et fonctionnel'!G642+'c.administrative et fonctionnel'!G539</f>
        <v>0</v>
      </c>
      <c r="K7" s="159">
        <f t="shared" si="2"/>
        <v>0.44710662270395624</v>
      </c>
      <c r="L7" s="158">
        <f>'prévision 2017'!I714+'prévision 2017'!I715+'prévision 2017'!I725+'prévision 2017'!I726+'prévision 2017'!I764+'prévision 2017'!I765+'prévision 2017'!I784+'prévision 2017'!I794+'prévision 2017'!I795+'prévision 2017'!I808+'prévision 2017'!I815+'prévision 2017'!I825+'prévision 2017'!I826+'prévision 2017'!I831+'prévision 2017'!I856+'prévision 2017'!I868+'prévision 2017'!I869+'prévision 2017'!I870+'prévision 2017'!I1285</f>
        <v>17330182101.52</v>
      </c>
      <c r="M7" s="158">
        <f>'c.administrative et fonctionnel'!G29+'c.administrative et fonctionnel'!G30+'c.administrative et fonctionnel'!G31+'c.administrative et fonctionnel'!G32+'c.administrative et fonctionnel'!G33+'c.administrative et fonctionnel'!G34+'c.administrative et fonctionnel'!G189+'c.administrative et fonctionnel'!G190+'c.administrative et fonctionnel'!G191+'c.administrative et fonctionnel'!G323+'c.administrative et fonctionnel'!G501+'c.administrative et fonctionnel'!G502+'c.administrative et fonctionnel'!G536+'c.administrative et fonctionnel'!G555+'c.administrative et fonctionnel'!G1272+'c.administrative et fonctionnel'!G1278+'c.administrative et fonctionnel'!G1285+'c.administrative et fonctionnel'!G1286+'c.administrative et fonctionnel'!G1287+'c.administrative et fonctionnel'!G1290</f>
        <v>17029240151.02</v>
      </c>
      <c r="N7" s="159">
        <f t="shared" si="3"/>
        <v>0.65440128770611</v>
      </c>
      <c r="O7" s="158">
        <f t="shared" si="4"/>
        <v>21245025713.182</v>
      </c>
    </row>
    <row r="8" spans="1:15" ht="30" customHeight="1">
      <c r="A8" s="156" t="s">
        <v>44</v>
      </c>
      <c r="B8" s="157" t="s">
        <v>518</v>
      </c>
      <c r="C8" s="158">
        <f>'c.administrative et fonctionnel'!F743</f>
        <v>32386404</v>
      </c>
      <c r="D8" s="158">
        <f>'c.administrative et fonctionnel'!G743</f>
        <v>25958532.979999997</v>
      </c>
      <c r="E8" s="159">
        <f t="shared" si="0"/>
        <v>0.0027132065074610837</v>
      </c>
      <c r="F8" s="158">
        <f>'c.administrative et fonctionnel'!F727+'c.administrative et fonctionnel'!F744+'c.administrative et fonctionnel'!F745+'c.administrative et fonctionnel'!F746</f>
        <v>11260000</v>
      </c>
      <c r="G8" s="158">
        <f>'c.administrative et fonctionnel'!G727+'c.administrative et fonctionnel'!G744+'c.administrative et fonctionnel'!G745+'c.administrative et fonctionnel'!G746</f>
        <v>5426660</v>
      </c>
      <c r="H8" s="159">
        <f t="shared" si="1"/>
        <v>0.0014024115501890617</v>
      </c>
      <c r="I8" s="157"/>
      <c r="J8" s="158">
        <v>0</v>
      </c>
      <c r="K8" s="159">
        <f t="shared" si="2"/>
        <v>0</v>
      </c>
      <c r="L8" s="157"/>
      <c r="M8" s="158">
        <f>'c.administrative et fonctionnel'!G30+'c.administrative et fonctionnel'!G31+'c.administrative et fonctionnel'!G32+'c.administrative et fonctionnel'!G33+'c.administrative et fonctionnel'!G34+'c.administrative et fonctionnel'!G35+'c.administrative et fonctionnel'!G190+'c.administrative et fonctionnel'!G191+'c.administrative et fonctionnel'!G192+'c.administrative et fonctionnel'!G324+'c.administrative et fonctionnel'!G502+'c.administrative et fonctionnel'!G503+'c.administrative et fonctionnel'!G537+'c.administrative et fonctionnel'!G556+'c.administrative et fonctionnel'!G1273+'c.administrative et fonctionnel'!G1279+'c.administrative et fonctionnel'!G1286+'c.administrative et fonctionnel'!G1287+'c.administrative et fonctionnel'!G1288+'c.administrative et fonctionnel'!G1291</f>
        <v>50298321251.899994</v>
      </c>
      <c r="N8" s="159">
        <f t="shared" si="3"/>
        <v>0</v>
      </c>
      <c r="O8" s="158">
        <f t="shared" si="4"/>
        <v>43646404</v>
      </c>
    </row>
    <row r="9" spans="1:15" ht="30" customHeight="1">
      <c r="A9" s="156" t="s">
        <v>64</v>
      </c>
      <c r="B9" s="157" t="s">
        <v>519</v>
      </c>
      <c r="C9" s="158">
        <f>'c.administrative et fonctionnel'!F752+'c.administrative et fonctionnel'!F771</f>
        <v>27920199.56</v>
      </c>
      <c r="D9" s="158">
        <f>'c.administrative et fonctionnel'!G752+'c.administrative et fonctionnel'!G771</f>
        <v>29515968.060000006</v>
      </c>
      <c r="E9" s="159">
        <f t="shared" si="0"/>
        <v>0.0023390453332146443</v>
      </c>
      <c r="F9" s="158">
        <f>'c.administrative et fonctionnel'!F753+'c.administrative et fonctionnel'!F754+'c.administrative et fonctionnel'!F755+'c.administrative et fonctionnel'!F772+'c.administrative et fonctionnel'!F773</f>
        <v>1440000</v>
      </c>
      <c r="G9" s="158">
        <f>'c.administrative et fonctionnel'!G753+'c.administrative et fonctionnel'!G754+'c.administrative et fonctionnel'!G755+'c.administrative et fonctionnel'!G772+'c.administrative et fonctionnel'!G773</f>
        <v>1079500</v>
      </c>
      <c r="H9" s="159">
        <f t="shared" si="1"/>
        <v>0.0001793492568625443</v>
      </c>
      <c r="I9" s="157"/>
      <c r="J9" s="158">
        <v>0</v>
      </c>
      <c r="K9" s="159">
        <f t="shared" si="2"/>
        <v>0</v>
      </c>
      <c r="L9" s="158">
        <f>'c.administrative et fonctionnel'!F756</f>
        <v>185253283</v>
      </c>
      <c r="M9" s="158">
        <f>'c.administrative et fonctionnel'!G31+'c.administrative et fonctionnel'!G32+'c.administrative et fonctionnel'!G33+'c.administrative et fonctionnel'!G34+'c.administrative et fonctionnel'!G35+'c.administrative et fonctionnel'!G36+'c.administrative et fonctionnel'!G191+'c.administrative et fonctionnel'!G192+'c.administrative et fonctionnel'!G193+'c.administrative et fonctionnel'!G325+'c.administrative et fonctionnel'!G503+'c.administrative et fonctionnel'!G504+'c.administrative et fonctionnel'!G538+'c.administrative et fonctionnel'!G557+'c.administrative et fonctionnel'!G1274+'c.administrative et fonctionnel'!G1280+'c.administrative et fonctionnel'!G1287+'c.administrative et fonctionnel'!G1288+'c.administrative et fonctionnel'!G1289+'c.administrative et fonctionnel'!G1292</f>
        <v>10490257116.310001</v>
      </c>
      <c r="N9" s="159">
        <f t="shared" si="3"/>
        <v>0.00699530946858034</v>
      </c>
      <c r="O9" s="158">
        <f t="shared" si="4"/>
        <v>214613482.56</v>
      </c>
    </row>
    <row r="10" spans="1:16" s="638" customFormat="1" ht="30" customHeight="1">
      <c r="A10" s="635" t="s">
        <v>81</v>
      </c>
      <c r="B10" s="634" t="s">
        <v>520</v>
      </c>
      <c r="C10" s="636">
        <f>'c.administrative et fonctionnel'!F196+'c.administrative et fonctionnel'!F203+'c.administrative et fonctionnel'!F223+'c.administrative et fonctionnel'!F235</f>
        <v>280139738</v>
      </c>
      <c r="D10" s="636">
        <f>'c.administrative et fonctionnel'!G196+'c.administrative et fonctionnel'!G203+'c.administrative et fonctionnel'!G223+'c.administrative et fonctionnel'!G235</f>
        <v>276071697.16999996</v>
      </c>
      <c r="E10" s="637">
        <f t="shared" si="0"/>
        <v>0.023469013729960356</v>
      </c>
      <c r="F10" s="636">
        <f>'c.administrative et fonctionnel'!F197+'c.administrative et fonctionnel'!F198+'c.administrative et fonctionnel'!F199+'c.administrative et fonctionnel'!F204+'c.administrative et fonctionnel'!F205+'c.administrative et fonctionnel'!F206+'c.administrative et fonctionnel'!F207+'c.administrative et fonctionnel'!F224+'c.administrative et fonctionnel'!F225+'c.administrative et fonctionnel'!F226+'c.administrative et fonctionnel'!F236+'c.administrative et fonctionnel'!F237+'c.administrative et fonctionnel'!F238+'c.administrative et fonctionnel'!F239+'c.administrative et fonctionnel'!F242+'c.administrative et fonctionnel'!F243+'c.administrative et fonctionnel'!F244</f>
        <v>15151900</v>
      </c>
      <c r="G10" s="636">
        <f>'c.administrative et fonctionnel'!G197+'c.administrative et fonctionnel'!G198+'c.administrative et fonctionnel'!G199+'c.administrative et fonctionnel'!G204+'c.administrative et fonctionnel'!G205+'c.administrative et fonctionnel'!G206+'c.administrative et fonctionnel'!G207+'c.administrative et fonctionnel'!G224+'c.administrative et fonctionnel'!G225+'c.administrative et fonctionnel'!G226+'c.administrative et fonctionnel'!G236+'c.administrative et fonctionnel'!G237+'c.administrative et fonctionnel'!G238+'c.administrative et fonctionnel'!G239+'c.administrative et fonctionnel'!G242+'c.administrative et fonctionnel'!G243+'c.administrative et fonctionnel'!G244</f>
        <v>3291750</v>
      </c>
      <c r="H10" s="637">
        <f t="shared" si="1"/>
        <v>0.0018871402812886007</v>
      </c>
      <c r="I10" s="636">
        <v>1080841452</v>
      </c>
      <c r="J10" s="636">
        <f>'prévision 2017'!J31+'prévision 2017'!J32+'prévision 2017'!J956+'prévision 2017'!J1264+'prévision 2017'!J1280+'c.administrative et fonctionnel'!G645+'c.administrative et fonctionnel'!G542</f>
        <v>4765258873.76</v>
      </c>
      <c r="K10" s="637">
        <f t="shared" si="2"/>
        <v>0.14855040846108566</v>
      </c>
      <c r="L10" s="636">
        <f>'c.administrative et fonctionnel'!F284+'c.administrative et fonctionnel'!F250</f>
        <v>750000000</v>
      </c>
      <c r="M10" s="636">
        <f>'c.administrative et fonctionnel'!G32+'c.administrative et fonctionnel'!G33+'c.administrative et fonctionnel'!G34+'c.administrative et fonctionnel'!G35+'c.administrative et fonctionnel'!G36+'c.administrative et fonctionnel'!G37+'c.administrative et fonctionnel'!G192+'c.administrative et fonctionnel'!G193+'c.administrative et fonctionnel'!G194+'c.administrative et fonctionnel'!G326+'c.administrative et fonctionnel'!G504+'c.administrative et fonctionnel'!G505+'c.administrative et fonctionnel'!G539+'c.administrative et fonctionnel'!G558+'c.administrative et fonctionnel'!G1275+'c.administrative et fonctionnel'!G1281+'c.administrative et fonctionnel'!G1288+'c.administrative et fonctionnel'!G1289+'c.administrative et fonctionnel'!G1290+'c.administrative et fonctionnel'!G1293</f>
        <v>23594418312.47</v>
      </c>
      <c r="N10" s="637">
        <f t="shared" si="3"/>
        <v>0.028320589068509275</v>
      </c>
      <c r="O10" s="636">
        <f t="shared" si="4"/>
        <v>2126133090</v>
      </c>
      <c r="P10" s="638">
        <f>O10/O14*100</f>
        <v>3.9575085880458354</v>
      </c>
    </row>
    <row r="11" spans="1:15" ht="30" customHeight="1">
      <c r="A11" s="156" t="s">
        <v>258</v>
      </c>
      <c r="B11" s="157" t="s">
        <v>521</v>
      </c>
      <c r="C11" s="158">
        <f>'c.administrative et fonctionnel'!F99+'c.administrative et fonctionnel'!F1047+'c.administrative et fonctionnel'!F1212+'c.administrative et fonctionnel'!F1218+'c.administrative et fonctionnel'!F1222</f>
        <v>89281196</v>
      </c>
      <c r="D11" s="158">
        <f>'c.administrative et fonctionnel'!G99+'c.administrative et fonctionnel'!G1047+'c.administrative et fonctionnel'!G1212+'c.administrative et fonctionnel'!G1218+'c.administrative et fonctionnel'!G1222</f>
        <v>82063932.04999998</v>
      </c>
      <c r="E11" s="159">
        <f t="shared" si="0"/>
        <v>0.007479630093575948</v>
      </c>
      <c r="F11" s="158">
        <f>'c.administrative et fonctionnel'!F100+'c.administrative et fonctionnel'!F101+'c.administrative et fonctionnel'!F102+'c.administrative et fonctionnel'!F103+'c.administrative et fonctionnel'!F104+'c.administrative et fonctionnel'!F105+'c.administrative et fonctionnel'!F106+'c.administrative et fonctionnel'!F1048+'c.administrative et fonctionnel'!F1049+'c.administrative et fonctionnel'!F1120+'c.administrative et fonctionnel'!F1223+'c.administrative et fonctionnel'!F1224+'c.administrative et fonctionnel'!F1225</f>
        <v>19401878</v>
      </c>
      <c r="G11" s="158">
        <f>'c.administrative et fonctionnel'!G100+'c.administrative et fonctionnel'!G101+'c.administrative et fonctionnel'!G102+'c.administrative et fonctionnel'!G103+'c.administrative et fonctionnel'!G104+'c.administrative et fonctionnel'!G105+'c.administrative et fonctionnel'!G106+'c.administrative et fonctionnel'!G1048+'c.administrative et fonctionnel'!G1049+'c.administrative et fonctionnel'!G1120+'c.administrative et fonctionnel'!G1223+'c.administrative et fonctionnel'!G1224+'c.administrative et fonctionnel'!G1225</f>
        <v>17242078</v>
      </c>
      <c r="H11" s="159">
        <f t="shared" si="1"/>
        <v>0.0024164669451651024</v>
      </c>
      <c r="I11" s="158">
        <v>306300000</v>
      </c>
      <c r="J11" s="158">
        <f>'prévision 2017'!J32+'prévision 2017'!J33+'prévision 2017'!J957+'prévision 2017'!J1265+'prévision 2017'!J1281+'c.administrative et fonctionnel'!G646+'c.administrative et fonctionnel'!G543</f>
        <v>431363500</v>
      </c>
      <c r="K11" s="159">
        <f t="shared" si="2"/>
        <v>0.042097747109379496</v>
      </c>
      <c r="L11" s="158">
        <f>'c.administrative et fonctionnel'!F1041+'c.administrative et fonctionnel'!F1215+'c.administrative et fonctionnel'!F1226</f>
        <v>1000000000</v>
      </c>
      <c r="M11" s="158">
        <f>'c.administrative et fonctionnel'!G33+'c.administrative et fonctionnel'!G34+'c.administrative et fonctionnel'!G35+'c.administrative et fonctionnel'!G36+'c.administrative et fonctionnel'!G37+'c.administrative et fonctionnel'!G38+'c.administrative et fonctionnel'!G193+'c.administrative et fonctionnel'!G194+'c.administrative et fonctionnel'!G195+'c.administrative et fonctionnel'!G327+'c.administrative et fonctionnel'!G505+'c.administrative et fonctionnel'!G506+'c.administrative et fonctionnel'!G540+'c.administrative et fonctionnel'!G559+'c.administrative et fonctionnel'!G1276+'c.administrative et fonctionnel'!G1282+'c.administrative et fonctionnel'!G1289+'c.administrative et fonctionnel'!G1290+'c.administrative et fonctionnel'!G1291+'c.administrative et fonctionnel'!G1294</f>
        <v>70046328466.06</v>
      </c>
      <c r="N11" s="159">
        <f t="shared" si="3"/>
        <v>0.03776078542467903</v>
      </c>
      <c r="O11" s="158">
        <f t="shared" si="4"/>
        <v>1414983074</v>
      </c>
    </row>
    <row r="12" spans="1:15" ht="30" customHeight="1">
      <c r="A12" s="156" t="s">
        <v>92</v>
      </c>
      <c r="B12" s="157" t="s">
        <v>522</v>
      </c>
      <c r="C12" s="158">
        <f>'c.administrative et fonctionnel'!F882+'c.administrative et fonctionnel'!F900+'c.administrative et fonctionnel'!F914+'c.administrative et fonctionnel'!F921+'c.administrative et fonctionnel'!F933+'c.administrative et fonctionnel'!F963+'c.administrative et fonctionnel'!F974+'c.administrative et fonctionnel'!F983+'c.administrative et fonctionnel'!F993+'c.administrative et fonctionnel'!F1002+'c.administrative et fonctionnel'!F1013+'c.administrative et fonctionnel'!F1189+'c.administrative et fonctionnel'!F1233</f>
        <v>625093994</v>
      </c>
      <c r="D12" s="158">
        <f>'c.administrative et fonctionnel'!G882+'c.administrative et fonctionnel'!G900+'c.administrative et fonctionnel'!G914+'c.administrative et fonctionnel'!G921+'c.administrative et fonctionnel'!G933+'c.administrative et fonctionnel'!G963+'c.administrative et fonctionnel'!G974+'c.administrative et fonctionnel'!G983+'c.administrative et fonctionnel'!G993+'c.administrative et fonctionnel'!G1002+'c.administrative et fonctionnel'!G1013+'c.administrative et fonctionnel'!G1189+'c.administrative et fonctionnel'!G1233</f>
        <v>437074454.69</v>
      </c>
      <c r="E12" s="159">
        <f t="shared" si="0"/>
        <v>0.05236793477582876</v>
      </c>
      <c r="F12" s="158">
        <f>'c.administrative et fonctionnel'!F883+'c.administrative et fonctionnel'!F884+'c.administrative et fonctionnel'!F885+'c.administrative et fonctionnel'!F886+'c.administrative et fonctionnel'!F887+'c.administrative et fonctionnel'!F888+'c.administrative et fonctionnel'!F889+'c.administrative et fonctionnel'!F890+'c.administrative et fonctionnel'!F891+'c.administrative et fonctionnel'!F892+'c.administrative et fonctionnel'!F893+'c.administrative et fonctionnel'!F894+'c.administrative et fonctionnel'!F901+'c.administrative et fonctionnel'!F902+'c.administrative et fonctionnel'!F903+'c.administrative et fonctionnel'!F904+'c.administrative et fonctionnel'!F905+'c.administrative et fonctionnel'!F906+'c.administrative et fonctionnel'!F915+'c.administrative et fonctionnel'!F916+'c.administrative et fonctionnel'!F922+'c.administrative et fonctionnel'!F923+'c.administrative et fonctionnel'!F927+'c.administrative et fonctionnel'!F928+'c.administrative et fonctionnel'!F934+'c.administrative et fonctionnel'!F935+'c.administrative et fonctionnel'!F936+'c.administrative et fonctionnel'!F937+'c.administrative et fonctionnel'!F938+'c.administrative et fonctionnel'!F964+'c.administrative et fonctionnel'!F965+'c.administrative et fonctionnel'!F966+'c.administrative et fonctionnel'!F967+'c.administrative et fonctionnel'!F968+'c.administrative et fonctionnel'!F975+'c.administrative et fonctionnel'!F976+'c.administrative et fonctionnel'!F977+'c.administrative et fonctionnel'!F978+'c.administrative et fonctionnel'!F984+'c.administrative et fonctionnel'!F985+'c.administrative et fonctionnel'!F986+'c.administrative et fonctionnel'!F987+'c.administrative et fonctionnel'!F994+'c.administrative et fonctionnel'!F995+'c.administrative et fonctionnel'!F996+'c.administrative et fonctionnel'!F997+'c.administrative et fonctionnel'!F998+'c.administrative et fonctionnel'!F1003+'c.administrative et fonctionnel'!F1004+'c.administrative et fonctionnel'!F1005+'c.administrative et fonctionnel'!F1006+'c.administrative et fonctionnel'!F1014+'c.administrative et fonctionnel'!F1015+'c.administrative et fonctionnel'!F1016+'c.administrative et fonctionnel'!F1017+'c.administrative et fonctionnel'!F1191+'c.administrative et fonctionnel'!F1192+'c.administrative et fonctionnel'!F1193+'c.administrative et fonctionnel'!F1194+'c.administrative et fonctionnel'!F1195+'c.administrative et fonctionnel'!F1196</f>
        <v>115289400</v>
      </c>
      <c r="G12" s="158">
        <f>'c.administrative et fonctionnel'!G883+'c.administrative et fonctionnel'!G884+'c.administrative et fonctionnel'!G885+'c.administrative et fonctionnel'!G886+'c.administrative et fonctionnel'!G887+'c.administrative et fonctionnel'!G888+'c.administrative et fonctionnel'!G889+'c.administrative et fonctionnel'!G890+'c.administrative et fonctionnel'!G891+'c.administrative et fonctionnel'!G892+'c.administrative et fonctionnel'!G893+'c.administrative et fonctionnel'!G894+'c.administrative et fonctionnel'!G901+'c.administrative et fonctionnel'!G902+'c.administrative et fonctionnel'!G903+'c.administrative et fonctionnel'!G904+'c.administrative et fonctionnel'!G905+'c.administrative et fonctionnel'!G906+'c.administrative et fonctionnel'!G915+'c.administrative et fonctionnel'!G916+'c.administrative et fonctionnel'!G922+'c.administrative et fonctionnel'!G923+'c.administrative et fonctionnel'!G927+'c.administrative et fonctionnel'!G928+'c.administrative et fonctionnel'!G934+'c.administrative et fonctionnel'!G935+'c.administrative et fonctionnel'!G936+'c.administrative et fonctionnel'!G937+'c.administrative et fonctionnel'!G938+'c.administrative et fonctionnel'!G964+'c.administrative et fonctionnel'!G965+'c.administrative et fonctionnel'!G966+'c.administrative et fonctionnel'!G967+'c.administrative et fonctionnel'!G968+'c.administrative et fonctionnel'!G975+'c.administrative et fonctionnel'!G976+'c.administrative et fonctionnel'!G977+'c.administrative et fonctionnel'!G978+'c.administrative et fonctionnel'!G984+'c.administrative et fonctionnel'!G985+'c.administrative et fonctionnel'!G986+'c.administrative et fonctionnel'!G987+'c.administrative et fonctionnel'!G994+'c.administrative et fonctionnel'!G995+'c.administrative et fonctionnel'!G996+'c.administrative et fonctionnel'!G997+'c.administrative et fonctionnel'!G998+'c.administrative et fonctionnel'!G1003+'c.administrative et fonctionnel'!G1004+'c.administrative et fonctionnel'!G1005+'c.administrative et fonctionnel'!G1006+'c.administrative et fonctionnel'!G1014+'c.administrative et fonctionnel'!G1015+'c.administrative et fonctionnel'!G1016+'c.administrative et fonctionnel'!G1017+'c.administrative et fonctionnel'!G1191+'c.administrative et fonctionnel'!G1192+'c.administrative et fonctionnel'!G1193+'c.administrative et fonctionnel'!G1194+'c.administrative et fonctionnel'!G1195+'c.administrative et fonctionnel'!G1196</f>
        <v>90799060</v>
      </c>
      <c r="H12" s="159">
        <f t="shared" si="1"/>
        <v>0.014359075148700428</v>
      </c>
      <c r="I12" s="158">
        <v>1619910047</v>
      </c>
      <c r="J12" s="158">
        <f>'prévision 2017'!J33+'prévision 2017'!J34+'prévision 2017'!J958+'prévision 2017'!J1266+'prévision 2017'!J1282+'c.administrative et fonctionnel'!G647+'c.administrative et fonctionnel'!G544</f>
        <v>432272500</v>
      </c>
      <c r="K12" s="159">
        <f t="shared" si="2"/>
        <v>0.22263977635830576</v>
      </c>
      <c r="L12" s="158">
        <f>'c.administrative et fonctionnel'!F896+'c.administrative et fonctionnel'!F897+'c.administrative et fonctionnel'!F924+'c.administrative et fonctionnel'!F939+'c.administrative et fonctionnel'!F940+'c.administrative et fonctionnel'!F941+'c.administrative et fonctionnel'!F969+'c.administrative et fonctionnel'!F970+'c.administrative et fonctionnel'!F971+'c.administrative et fonctionnel'!F979+'c.administrative et fonctionnel'!F980+'c.administrative et fonctionnel'!F988+'c.administrative et fonctionnel'!F989+'c.administrative et fonctionnel'!F990+'c.administrative et fonctionnel'!F999+'c.administrative et fonctionnel'!F1007+'c.administrative et fonctionnel'!F1008+'c.administrative et fonctionnel'!F1009+'c.administrative et fonctionnel'!F1010</f>
        <v>347680000</v>
      </c>
      <c r="M12" s="158">
        <f>'c.administrative et fonctionnel'!G34+'c.administrative et fonctionnel'!G35+'c.administrative et fonctionnel'!G36+'c.administrative et fonctionnel'!G37+'c.administrative et fonctionnel'!G38+'c.administrative et fonctionnel'!G39+'c.administrative et fonctionnel'!G194+'c.administrative et fonctionnel'!G195+'c.administrative et fonctionnel'!G196+'c.administrative et fonctionnel'!G328+'c.administrative et fonctionnel'!G506+'c.administrative et fonctionnel'!G507+'c.administrative et fonctionnel'!G541+'c.administrative et fonctionnel'!G560+'c.administrative et fonctionnel'!G1277+'c.administrative et fonctionnel'!G1283+'c.administrative et fonctionnel'!G1290+'c.administrative et fonctionnel'!G1291+'c.administrative et fonctionnel'!G1292+'c.administrative et fonctionnel'!G1295</f>
        <v>63164284114.92999</v>
      </c>
      <c r="N12" s="159">
        <f t="shared" si="3"/>
        <v>0.013128669876452406</v>
      </c>
      <c r="O12" s="158">
        <f t="shared" si="4"/>
        <v>2707973441</v>
      </c>
    </row>
    <row r="13" spans="1:15" ht="30" customHeight="1">
      <c r="A13" s="156" t="s">
        <v>259</v>
      </c>
      <c r="B13" s="157" t="s">
        <v>523</v>
      </c>
      <c r="C13" s="158">
        <f>'c.administrative et fonctionnel'!F210+'c.administrative et fonctionnel'!F217+'c.administrative et fonctionnel'!F229</f>
        <v>50351760</v>
      </c>
      <c r="D13" s="158">
        <f>'c.administrative et fonctionnel'!G210+'c.administrative et fonctionnel'!G217+'c.administrative et fonctionnel'!G229</f>
        <v>55327402.54</v>
      </c>
      <c r="E13" s="159">
        <f t="shared" si="0"/>
        <v>0.004218273905745099</v>
      </c>
      <c r="F13" s="158">
        <f>'c.administrative et fonctionnel'!F211+'c.administrative et fonctionnel'!F212+'c.administrative et fonctionnel'!F213+'c.administrative et fonctionnel'!F214+'c.administrative et fonctionnel'!F218+'c.administrative et fonctionnel'!F219+'c.administrative et fonctionnel'!F220+'c.administrative et fonctionnel'!F230+'c.administrative et fonctionnel'!F231+'c.administrative et fonctionnel'!F232</f>
        <v>6317231.3</v>
      </c>
      <c r="G13" s="158">
        <f>'c.administrative et fonctionnel'!G211+'c.administrative et fonctionnel'!G212+'c.administrative et fonctionnel'!G213+'c.administrative et fonctionnel'!G214+'c.administrative et fonctionnel'!G218+'c.administrative et fonctionnel'!G219+'c.administrative et fonctionnel'!G220+'c.administrative et fonctionnel'!G230+'c.administrative et fonctionnel'!G231+'c.administrative et fonctionnel'!G232</f>
        <v>484110</v>
      </c>
      <c r="H13" s="159">
        <f t="shared" si="1"/>
        <v>0.0007867991243637532</v>
      </c>
      <c r="I13" s="158">
        <f>'c.administrative et fonctionnel'!F1248</f>
        <v>100381767.161</v>
      </c>
      <c r="J13" s="158">
        <v>92037955</v>
      </c>
      <c r="K13" s="159">
        <f t="shared" si="2"/>
        <v>0.01379642914899247</v>
      </c>
      <c r="L13" s="158">
        <f>'c.administrative et fonctionnel'!F1278+'c.administrative et fonctionnel'!F1279</f>
        <v>1219000000</v>
      </c>
      <c r="M13" s="158">
        <f>'c.administrative et fonctionnel'!G35+'c.administrative et fonctionnel'!G36+'c.administrative et fonctionnel'!G37+'c.administrative et fonctionnel'!G38+'c.administrative et fonctionnel'!G39+'c.administrative et fonctionnel'!G40+'c.administrative et fonctionnel'!G195+'c.administrative et fonctionnel'!G196+'c.administrative et fonctionnel'!G197+'c.administrative et fonctionnel'!G329+'c.administrative et fonctionnel'!G507+'c.administrative et fonctionnel'!G508+'c.administrative et fonctionnel'!G542+'c.administrative et fonctionnel'!G561+'c.administrative et fonctionnel'!G1278+'c.administrative et fonctionnel'!G1284+'c.administrative et fonctionnel'!G1291+'c.administrative et fonctionnel'!G1292+'c.administrative et fonctionnel'!G1293+'c.administrative et fonctionnel'!G1296</f>
        <v>48148088254.67</v>
      </c>
      <c r="N13" s="159">
        <f t="shared" si="3"/>
        <v>0.046030397432683744</v>
      </c>
      <c r="O13" s="158">
        <f t="shared" si="4"/>
        <v>1376050758.461</v>
      </c>
    </row>
    <row r="14" spans="1:15" ht="30" customHeight="1">
      <c r="A14" s="160" t="s">
        <v>527</v>
      </c>
      <c r="B14" s="157"/>
      <c r="C14" s="158">
        <f>SUM(C4:C13)</f>
        <v>11936579066.481</v>
      </c>
      <c r="D14" s="158">
        <f aca="true" t="shared" si="5" ref="D14:N14">SUM(D4:D13)</f>
        <v>11395479744.62</v>
      </c>
      <c r="E14" s="161">
        <f>SUM(E4:E13)</f>
        <v>1</v>
      </c>
      <c r="F14" s="158">
        <f>SUM(F4:F13)</f>
        <v>8029026856.262</v>
      </c>
      <c r="G14" s="158">
        <f t="shared" si="5"/>
        <v>13878983472</v>
      </c>
      <c r="H14" s="161">
        <f t="shared" si="5"/>
        <v>0.9999999999999998</v>
      </c>
      <c r="I14" s="158">
        <f t="shared" si="5"/>
        <v>7275923797.161</v>
      </c>
      <c r="J14" s="158">
        <f t="shared" si="5"/>
        <v>8488030299.76</v>
      </c>
      <c r="K14" s="161">
        <f t="shared" si="5"/>
        <v>1</v>
      </c>
      <c r="L14" s="158">
        <f>SUM(L4:L13)</f>
        <v>26482499999.760002</v>
      </c>
      <c r="M14" s="158">
        <f t="shared" si="5"/>
        <v>294886770227.81</v>
      </c>
      <c r="N14" s="161">
        <f t="shared" si="5"/>
        <v>1</v>
      </c>
      <c r="O14" s="158">
        <f>C14+F14+I14+L14</f>
        <v>53724029719.664</v>
      </c>
    </row>
    <row r="15" spans="1:15" ht="30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</row>
  </sheetData>
  <sheetProtection/>
  <mergeCells count="4"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Header>&amp;CLOI DE FINANCES  RECTIFICATIVES  N°17______/AU
EXERCICE BUDGETAIRE 2017
CLASSIFICATION FONCTIONNELLE ET ECONOMIQUE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2.7109375" style="0" customWidth="1"/>
    <col min="2" max="2" width="17.8515625" style="0" bestFit="1" customWidth="1"/>
    <col min="3" max="3" width="19.00390625" style="0" customWidth="1"/>
    <col min="4" max="4" width="13.7109375" style="0" bestFit="1" customWidth="1"/>
    <col min="5" max="5" width="30.8515625" style="0" customWidth="1"/>
    <col min="6" max="6" width="19.8515625" style="0" customWidth="1"/>
    <col min="7" max="7" width="15.140625" style="0" bestFit="1" customWidth="1"/>
    <col min="8" max="8" width="18.28125" style="0" customWidth="1"/>
    <col min="9" max="9" width="15.140625" style="0" bestFit="1" customWidth="1"/>
    <col min="10" max="10" width="14.8515625" style="0" customWidth="1"/>
    <col min="11" max="12" width="17.8515625" style="0" bestFit="1" customWidth="1"/>
    <col min="13" max="13" width="16.28125" style="0" customWidth="1"/>
  </cols>
  <sheetData>
    <row r="1" spans="2:13" ht="15.75" thickBot="1">
      <c r="B1" s="533" t="s">
        <v>670</v>
      </c>
      <c r="C1" s="534" t="s">
        <v>669</v>
      </c>
      <c r="D1" s="534" t="s">
        <v>672</v>
      </c>
      <c r="E1" s="534" t="s">
        <v>670</v>
      </c>
      <c r="F1" s="534" t="s">
        <v>669</v>
      </c>
      <c r="G1" s="534" t="s">
        <v>672</v>
      </c>
      <c r="H1" s="534" t="s">
        <v>670</v>
      </c>
      <c r="I1" s="534" t="s">
        <v>669</v>
      </c>
      <c r="J1" s="534" t="s">
        <v>672</v>
      </c>
      <c r="K1" s="534" t="s">
        <v>670</v>
      </c>
      <c r="L1" s="534" t="s">
        <v>669</v>
      </c>
      <c r="M1" s="535" t="s">
        <v>672</v>
      </c>
    </row>
    <row r="2" spans="1:13" ht="24" thickBot="1">
      <c r="A2" s="536" t="s">
        <v>676</v>
      </c>
      <c r="B2" s="665" t="s">
        <v>671</v>
      </c>
      <c r="C2" s="666"/>
      <c r="D2" s="667"/>
      <c r="E2" s="665" t="s">
        <v>673</v>
      </c>
      <c r="F2" s="666"/>
      <c r="G2" s="667"/>
      <c r="H2" s="665" t="s">
        <v>674</v>
      </c>
      <c r="I2" s="666"/>
      <c r="J2" s="667"/>
      <c r="K2" s="665" t="s">
        <v>675</v>
      </c>
      <c r="L2" s="666"/>
      <c r="M2" s="667"/>
    </row>
    <row r="3" spans="1:13" ht="30" customHeight="1">
      <c r="A3" s="539" t="s">
        <v>25</v>
      </c>
      <c r="B3" s="540">
        <v>4909935609</v>
      </c>
      <c r="C3" s="540">
        <v>4903973207</v>
      </c>
      <c r="D3" s="540">
        <f>B3-C3</f>
        <v>5962402</v>
      </c>
      <c r="E3" s="540">
        <v>1689403080</v>
      </c>
      <c r="F3" s="540">
        <v>1659403050</v>
      </c>
      <c r="G3" s="540">
        <f>E3-F3</f>
        <v>30000030</v>
      </c>
      <c r="H3" s="540">
        <v>85101239</v>
      </c>
      <c r="I3" s="540">
        <v>85101239</v>
      </c>
      <c r="J3" s="540">
        <f>H3-I3</f>
        <v>0</v>
      </c>
      <c r="K3" s="541"/>
      <c r="L3" s="541"/>
      <c r="M3" s="542"/>
    </row>
    <row r="4" spans="1:13" ht="30" customHeight="1">
      <c r="A4" s="543" t="s">
        <v>668</v>
      </c>
      <c r="B4" s="537">
        <v>289582849.26</v>
      </c>
      <c r="C4" s="537">
        <v>289582849</v>
      </c>
      <c r="D4" s="537">
        <f>B4-C4</f>
        <v>0.25999999046325684</v>
      </c>
      <c r="E4" s="537">
        <v>54177540</v>
      </c>
      <c r="F4" s="537">
        <v>54177540</v>
      </c>
      <c r="G4" s="537">
        <f>E4-F4</f>
        <v>0</v>
      </c>
      <c r="H4" s="537">
        <v>102003716</v>
      </c>
      <c r="I4" s="537">
        <v>77003716</v>
      </c>
      <c r="J4" s="537">
        <f>H4-I4</f>
        <v>25000000</v>
      </c>
      <c r="K4" s="538">
        <v>4358435384.52</v>
      </c>
      <c r="L4" s="538">
        <v>4358435385</v>
      </c>
      <c r="M4" s="544">
        <f>K4-L4</f>
        <v>-0.4799995422363281</v>
      </c>
    </row>
    <row r="5" spans="1:13" ht="30" customHeight="1">
      <c r="A5" s="545" t="s">
        <v>168</v>
      </c>
      <c r="B5" s="537">
        <v>289006596</v>
      </c>
      <c r="C5" s="537">
        <v>294968998</v>
      </c>
      <c r="D5" s="537">
        <f>B5-C5</f>
        <v>-5962402</v>
      </c>
      <c r="E5" s="537">
        <v>3753956326.896</v>
      </c>
      <c r="F5" s="537">
        <v>3783956327</v>
      </c>
      <c r="G5" s="537">
        <f>E5-F5</f>
        <v>-30000000.10400009</v>
      </c>
      <c r="H5" s="537">
        <v>827770303</v>
      </c>
      <c r="I5" s="537">
        <v>852770303</v>
      </c>
      <c r="J5" s="537">
        <f>H5-I5</f>
        <v>-25000000</v>
      </c>
      <c r="K5" s="537">
        <v>2977761215</v>
      </c>
      <c r="L5" s="537">
        <v>2977761215</v>
      </c>
      <c r="M5" s="544">
        <f>K5-L5</f>
        <v>0</v>
      </c>
    </row>
    <row r="6" spans="1:13" ht="30" customHeight="1">
      <c r="A6" s="546" t="s">
        <v>678</v>
      </c>
      <c r="B6" s="537"/>
      <c r="C6" s="537"/>
      <c r="D6" s="537"/>
      <c r="E6" s="537"/>
      <c r="F6" s="537"/>
      <c r="G6" s="537"/>
      <c r="H6" s="537"/>
      <c r="J6" s="537"/>
      <c r="K6" s="538">
        <v>83623400</v>
      </c>
      <c r="L6" s="538">
        <v>680123400</v>
      </c>
      <c r="M6" s="544">
        <f>K6-L6</f>
        <v>-596500000</v>
      </c>
    </row>
    <row r="7" spans="1:13" ht="30" customHeight="1">
      <c r="A7" s="553" t="s">
        <v>640</v>
      </c>
      <c r="B7" s="551"/>
      <c r="C7" s="551"/>
      <c r="D7" s="551"/>
      <c r="E7" s="551"/>
      <c r="F7" s="551"/>
      <c r="G7" s="551"/>
      <c r="H7" s="551">
        <v>1707413883.49</v>
      </c>
      <c r="I7" s="551">
        <v>1123413883</v>
      </c>
      <c r="J7" s="551">
        <f>H7-I7</f>
        <v>584000000.49</v>
      </c>
      <c r="K7" s="551"/>
      <c r="L7" s="551"/>
      <c r="M7" s="552"/>
    </row>
    <row r="8" spans="1:13" ht="30" customHeight="1">
      <c r="A8" s="554" t="s">
        <v>641</v>
      </c>
      <c r="B8" s="551"/>
      <c r="C8" s="551"/>
      <c r="D8" s="551"/>
      <c r="E8" s="551"/>
      <c r="F8" s="551"/>
      <c r="G8" s="551">
        <f>E8-F8</f>
        <v>0</v>
      </c>
      <c r="H8" s="551"/>
      <c r="I8" s="551"/>
      <c r="J8" s="551"/>
      <c r="K8" s="551">
        <v>0</v>
      </c>
      <c r="L8" s="551">
        <v>3000000000</v>
      </c>
      <c r="M8" s="552">
        <f>K8-L8</f>
        <v>-3000000000</v>
      </c>
    </row>
    <row r="9" spans="1:13" ht="30" customHeight="1" thickBot="1">
      <c r="A9" s="547" t="s">
        <v>677</v>
      </c>
      <c r="B9" s="548"/>
      <c r="C9" s="548"/>
      <c r="D9" s="548"/>
      <c r="E9" s="548"/>
      <c r="F9" s="548"/>
      <c r="G9" s="548"/>
      <c r="H9" s="548"/>
      <c r="I9" s="548"/>
      <c r="J9" s="548"/>
      <c r="K9" s="549">
        <v>8157000000</v>
      </c>
      <c r="L9" s="549">
        <v>13157000000</v>
      </c>
      <c r="M9" s="550">
        <f>K9-L9</f>
        <v>-5000000000</v>
      </c>
    </row>
    <row r="10" spans="2:13" ht="15">
      <c r="B10" s="532"/>
      <c r="C10" s="532"/>
      <c r="D10" s="532"/>
      <c r="E10" s="532"/>
      <c r="F10" s="532"/>
      <c r="G10" s="532"/>
      <c r="H10" s="532"/>
      <c r="I10" s="532"/>
      <c r="J10" s="532"/>
      <c r="M10" s="555">
        <f>SUM(M4:M9)</f>
        <v>-8596500000.48</v>
      </c>
    </row>
    <row r="11" spans="2:10" ht="15">
      <c r="B11" s="532"/>
      <c r="C11" s="532"/>
      <c r="D11" s="532"/>
      <c r="E11" s="532"/>
      <c r="F11" s="532"/>
      <c r="G11" s="532"/>
      <c r="H11" s="532"/>
      <c r="I11" s="532"/>
      <c r="J11" s="532"/>
    </row>
    <row r="12" spans="2:10" ht="15">
      <c r="B12" s="532"/>
      <c r="C12" s="532"/>
      <c r="D12" s="532"/>
      <c r="E12" s="532"/>
      <c r="F12" s="532"/>
      <c r="G12" s="532"/>
      <c r="H12" s="532"/>
      <c r="I12" s="532"/>
      <c r="J12" s="532"/>
    </row>
    <row r="13" spans="2:10" ht="15">
      <c r="B13" s="532"/>
      <c r="C13" s="532"/>
      <c r="D13" s="532"/>
      <c r="E13" s="532"/>
      <c r="F13" s="532"/>
      <c r="G13" s="532"/>
      <c r="H13" s="532"/>
      <c r="I13" s="532"/>
      <c r="J13" s="532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0" fitToWidth="1" horizontalDpi="300" verticalDpi="300" orientation="landscape" scale="40" r:id="rId1"/>
  <headerFooter>
    <oddHeader>&amp;C&amp;16
Les Modifications  internes fait dans certaines Ministères et institution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2.7109375" style="0" customWidth="1"/>
    <col min="2" max="2" width="17.8515625" style="0" bestFit="1" customWidth="1"/>
    <col min="3" max="3" width="19.00390625" style="0" customWidth="1"/>
    <col min="4" max="4" width="13.7109375" style="0" bestFit="1" customWidth="1"/>
    <col min="5" max="5" width="30.8515625" style="0" customWidth="1"/>
    <col min="6" max="6" width="19.8515625" style="0" customWidth="1"/>
    <col min="7" max="7" width="15.140625" style="0" bestFit="1" customWidth="1"/>
    <col min="8" max="8" width="18.28125" style="0" customWidth="1"/>
    <col min="9" max="9" width="15.140625" style="0" bestFit="1" customWidth="1"/>
    <col min="10" max="10" width="14.8515625" style="0" customWidth="1"/>
    <col min="11" max="12" width="17.8515625" style="0" bestFit="1" customWidth="1"/>
    <col min="13" max="13" width="16.28125" style="0" customWidth="1"/>
  </cols>
  <sheetData>
    <row r="1" spans="2:13" ht="15.75" thickBot="1">
      <c r="B1" s="533" t="s">
        <v>670</v>
      </c>
      <c r="C1" s="534" t="s">
        <v>669</v>
      </c>
      <c r="D1" s="534" t="s">
        <v>672</v>
      </c>
      <c r="E1" s="534" t="s">
        <v>670</v>
      </c>
      <c r="F1" s="534" t="s">
        <v>669</v>
      </c>
      <c r="G1" s="534" t="s">
        <v>672</v>
      </c>
      <c r="H1" s="534" t="s">
        <v>670</v>
      </c>
      <c r="I1" s="534" t="s">
        <v>669</v>
      </c>
      <c r="J1" s="534" t="s">
        <v>672</v>
      </c>
      <c r="K1" s="534" t="s">
        <v>670</v>
      </c>
      <c r="L1" s="534" t="s">
        <v>669</v>
      </c>
      <c r="M1" s="535" t="s">
        <v>672</v>
      </c>
    </row>
    <row r="2" spans="1:13" ht="24" thickBot="1">
      <c r="A2" s="536" t="s">
        <v>676</v>
      </c>
      <c r="B2" s="665" t="s">
        <v>671</v>
      </c>
      <c r="C2" s="666"/>
      <c r="D2" s="667"/>
      <c r="E2" s="665" t="s">
        <v>673</v>
      </c>
      <c r="F2" s="666"/>
      <c r="G2" s="667"/>
      <c r="H2" s="665" t="s">
        <v>674</v>
      </c>
      <c r="I2" s="666"/>
      <c r="J2" s="667"/>
      <c r="K2" s="665" t="s">
        <v>675</v>
      </c>
      <c r="L2" s="666"/>
      <c r="M2" s="667"/>
    </row>
    <row r="3" spans="1:13" ht="30" customHeight="1">
      <c r="A3" s="539" t="s">
        <v>25</v>
      </c>
      <c r="B3" s="540">
        <v>4909935609</v>
      </c>
      <c r="C3" s="540">
        <v>4903973207</v>
      </c>
      <c r="D3" s="540">
        <f>B3-C3</f>
        <v>5962402</v>
      </c>
      <c r="E3" s="540">
        <v>1689403080</v>
      </c>
      <c r="F3" s="540">
        <v>1659403050</v>
      </c>
      <c r="G3" s="540">
        <f>E3-F3</f>
        <v>30000030</v>
      </c>
      <c r="H3" s="540">
        <v>85101239</v>
      </c>
      <c r="I3" s="540">
        <v>85101239</v>
      </c>
      <c r="J3" s="540">
        <f>H3-I3</f>
        <v>0</v>
      </c>
      <c r="K3" s="541"/>
      <c r="L3" s="541"/>
      <c r="M3" s="542"/>
    </row>
    <row r="4" spans="1:13" ht="30" customHeight="1">
      <c r="A4" s="543" t="s">
        <v>668</v>
      </c>
      <c r="B4" s="538">
        <v>289582849.26</v>
      </c>
      <c r="C4" s="538">
        <v>289582849</v>
      </c>
      <c r="D4" s="538">
        <f>B4-C4</f>
        <v>0.25999999046325684</v>
      </c>
      <c r="E4" s="538">
        <v>54177540</v>
      </c>
      <c r="F4" s="538">
        <v>54177540</v>
      </c>
      <c r="G4" s="538">
        <f>E4-F4</f>
        <v>0</v>
      </c>
      <c r="H4" s="538">
        <v>102003716</v>
      </c>
      <c r="I4" s="538">
        <v>77003716</v>
      </c>
      <c r="J4" s="538">
        <f>H4-I4</f>
        <v>25000000</v>
      </c>
      <c r="K4" s="538">
        <v>4358435384.52</v>
      </c>
      <c r="L4" s="538">
        <v>4358435385</v>
      </c>
      <c r="M4" s="544">
        <f>K4-L4</f>
        <v>-0.4799995422363281</v>
      </c>
    </row>
    <row r="5" spans="1:13" ht="30" customHeight="1">
      <c r="A5" s="545" t="s">
        <v>168</v>
      </c>
      <c r="B5" s="538">
        <v>289006596</v>
      </c>
      <c r="C5" s="538">
        <v>294968998</v>
      </c>
      <c r="D5" s="538">
        <f>B5-C5</f>
        <v>-5962402</v>
      </c>
      <c r="E5" s="538">
        <v>3753956326.896</v>
      </c>
      <c r="F5" s="538">
        <v>3783956327</v>
      </c>
      <c r="G5" s="538">
        <f>E5-F5</f>
        <v>-30000000.10400009</v>
      </c>
      <c r="H5" s="538">
        <v>827770303</v>
      </c>
      <c r="I5" s="538">
        <v>852770303</v>
      </c>
      <c r="J5" s="538">
        <f>H5-I5</f>
        <v>-25000000</v>
      </c>
      <c r="K5" s="538">
        <v>2977761215</v>
      </c>
      <c r="L5" s="538">
        <v>2977761215</v>
      </c>
      <c r="M5" s="544">
        <f>K5-L5</f>
        <v>0</v>
      </c>
    </row>
    <row r="6" spans="1:13" ht="30" customHeight="1">
      <c r="A6" s="546" t="s">
        <v>678</v>
      </c>
      <c r="B6" s="538"/>
      <c r="C6" s="538"/>
      <c r="D6" s="538"/>
      <c r="E6" s="538"/>
      <c r="F6" s="538"/>
      <c r="G6" s="538"/>
      <c r="H6" s="538"/>
      <c r="J6" s="538"/>
      <c r="K6" s="538">
        <v>83623400</v>
      </c>
      <c r="L6" s="538">
        <v>680123400</v>
      </c>
      <c r="M6" s="544">
        <f>K6-L6</f>
        <v>-596500000</v>
      </c>
    </row>
    <row r="7" spans="1:13" ht="30" customHeight="1">
      <c r="A7" s="553" t="s">
        <v>640</v>
      </c>
      <c r="B7" s="551"/>
      <c r="C7" s="551"/>
      <c r="D7" s="551"/>
      <c r="E7" s="551"/>
      <c r="F7" s="551"/>
      <c r="G7" s="551"/>
      <c r="H7" s="551">
        <v>1707413883.49</v>
      </c>
      <c r="I7" s="551">
        <v>1123413883</v>
      </c>
      <c r="J7" s="551">
        <f>H7-I7</f>
        <v>584000000.49</v>
      </c>
      <c r="K7" s="551"/>
      <c r="L7" s="551"/>
      <c r="M7" s="552"/>
    </row>
    <row r="8" spans="1:13" ht="30" customHeight="1">
      <c r="A8" s="554" t="s">
        <v>641</v>
      </c>
      <c r="B8" s="551"/>
      <c r="C8" s="551"/>
      <c r="D8" s="551"/>
      <c r="E8" s="551"/>
      <c r="F8" s="551"/>
      <c r="G8" s="551">
        <f>E8-F8</f>
        <v>0</v>
      </c>
      <c r="H8" s="551"/>
      <c r="I8" s="551"/>
      <c r="J8" s="551"/>
      <c r="K8" s="551">
        <v>0</v>
      </c>
      <c r="L8" s="551">
        <v>3000000000</v>
      </c>
      <c r="M8" s="552">
        <f>K8-L8</f>
        <v>-3000000000</v>
      </c>
    </row>
    <row r="9" spans="1:13" ht="30" customHeight="1" thickBot="1">
      <c r="A9" s="547" t="s">
        <v>677</v>
      </c>
      <c r="B9" s="549"/>
      <c r="C9" s="549"/>
      <c r="D9" s="549"/>
      <c r="E9" s="549"/>
      <c r="F9" s="549"/>
      <c r="G9" s="549"/>
      <c r="H9" s="549"/>
      <c r="I9" s="549"/>
      <c r="J9" s="549"/>
      <c r="K9" s="549">
        <v>8157000000</v>
      </c>
      <c r="L9" s="549">
        <v>13157000000</v>
      </c>
      <c r="M9" s="550">
        <f>K9-L9</f>
        <v>-5000000000</v>
      </c>
    </row>
    <row r="10" spans="2:13" ht="15">
      <c r="B10" s="532"/>
      <c r="C10" s="532"/>
      <c r="D10" s="532"/>
      <c r="E10" s="532"/>
      <c r="F10" s="532"/>
      <c r="G10" s="532"/>
      <c r="H10" s="532"/>
      <c r="I10" s="532"/>
      <c r="J10" s="532"/>
      <c r="M10" s="555">
        <f>SUM(M4:M9)</f>
        <v>-8596500000.48</v>
      </c>
    </row>
    <row r="11" spans="2:10" ht="15">
      <c r="B11" s="532"/>
      <c r="C11" s="532"/>
      <c r="D11" s="532"/>
      <c r="E11" s="532"/>
      <c r="F11" s="532"/>
      <c r="G11" s="532"/>
      <c r="H11" s="532"/>
      <c r="I11" s="532"/>
      <c r="J11" s="532"/>
    </row>
    <row r="12" spans="2:10" ht="15">
      <c r="B12" s="532"/>
      <c r="C12" s="532"/>
      <c r="D12" s="532"/>
      <c r="E12" s="532"/>
      <c r="F12" s="532"/>
      <c r="G12" s="532"/>
      <c r="H12" s="532"/>
      <c r="I12" s="532"/>
      <c r="J12" s="532"/>
    </row>
    <row r="13" spans="2:10" ht="15">
      <c r="B13" s="532"/>
      <c r="C13" s="532"/>
      <c r="D13" s="532"/>
      <c r="E13" s="532"/>
      <c r="F13" s="532"/>
      <c r="G13" s="532"/>
      <c r="H13" s="532"/>
      <c r="I13" s="532"/>
      <c r="J13" s="532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0" fitToWidth="1" horizontalDpi="300" verticalDpi="300" orientation="landscape" scale="40" r:id="rId1"/>
  <headerFooter>
    <oddHeader>&amp;C&amp;16
Les Modifications  internes fait dans certaines Ministères et institution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Bigeard, Mr Alexis - bf</cp:lastModifiedBy>
  <cp:lastPrinted>2018-04-16T07:37:17Z</cp:lastPrinted>
  <dcterms:created xsi:type="dcterms:W3CDTF">2012-08-06T08:00:38Z</dcterms:created>
  <dcterms:modified xsi:type="dcterms:W3CDTF">2018-05-21T12:03:56Z</dcterms:modified>
  <cp:category/>
  <cp:version/>
  <cp:contentType/>
  <cp:contentStatus/>
</cp:coreProperties>
</file>