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charts/chart5.xml" ContentType="application/vnd.openxmlformats-officedocument.drawingml.chart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735" windowWidth="11760" windowHeight="4890" tabRatio="796" firstSheet="5" activeTab="10"/>
  </bookViews>
  <sheets>
    <sheet name="fonction santé" sheetId="19" r:id="rId1"/>
    <sheet name="Gratuités 2016" sheetId="17" r:id="rId2"/>
    <sheet name="CRM 2016" sheetId="11" r:id="rId3"/>
    <sheet name="assurés 2016" sheetId="13" r:id="rId4"/>
    <sheet name="historique part santé" sheetId="14" r:id="rId5"/>
    <sheet name="CNS - web" sheetId="18" r:id="rId6"/>
    <sheet name="structure financement santé" sheetId="15" r:id="rId7"/>
    <sheet name="Hypothèse AMU" sheetId="10" r:id="rId8"/>
    <sheet name="Population &amp; évolution coût AMU" sheetId="1" r:id="rId9"/>
    <sheet name="Ressource - dépenses et gap AMU" sheetId="3" r:id="rId10"/>
    <sheet name="Projection AMU" sheetId="9" r:id="rId11"/>
  </sheets>
  <calcPr calcId="145621"/>
</workbook>
</file>

<file path=xl/calcChain.xml><?xml version="1.0" encoding="utf-8"?>
<calcChain xmlns="http://schemas.openxmlformats.org/spreadsheetml/2006/main">
  <c r="H31" i="19" l="1"/>
  <c r="C12" i="11"/>
  <c r="C19" i="11"/>
  <c r="C18" i="11"/>
  <c r="C15" i="11"/>
  <c r="B18" i="10"/>
  <c r="B19" i="10"/>
  <c r="A4" i="10"/>
  <c r="A5" i="10"/>
  <c r="D20" i="15"/>
  <c r="C37" i="19"/>
  <c r="C36" i="19" s="1"/>
  <c r="C34" i="19"/>
  <c r="C35" i="19" s="1"/>
  <c r="C42" i="19"/>
  <c r="C44" i="19" s="1"/>
  <c r="D16" i="19"/>
  <c r="D8" i="19"/>
  <c r="D10" i="19"/>
  <c r="G3" i="3"/>
  <c r="S18" i="1"/>
  <c r="Q18" i="1"/>
  <c r="O18" i="1"/>
  <c r="Q8" i="9"/>
  <c r="Q3" i="9"/>
  <c r="E3" i="9"/>
  <c r="R20" i="1"/>
  <c r="P5" i="9" s="1"/>
  <c r="R19" i="1"/>
  <c r="E18" i="1"/>
  <c r="E20" i="1"/>
  <c r="E19" i="1"/>
  <c r="H18" i="3"/>
  <c r="I13" i="3" s="1"/>
  <c r="J13" i="3" s="1"/>
  <c r="K13" i="3" s="1"/>
  <c r="L13" i="3" s="1"/>
  <c r="M13" i="3" s="1"/>
  <c r="N13" i="3" s="1"/>
  <c r="O13" i="3" s="1"/>
  <c r="P13" i="3" s="1"/>
  <c r="Q13" i="3" s="1"/>
  <c r="B11" i="10"/>
  <c r="B9" i="10" s="1"/>
  <c r="H4" i="3" s="1"/>
  <c r="P4" i="9" l="1"/>
  <c r="C6" i="11"/>
  <c r="D6" i="11"/>
  <c r="E6" i="11"/>
  <c r="B6" i="11"/>
  <c r="B7" i="11"/>
  <c r="G24" i="19" l="1"/>
  <c r="F24" i="19" s="1"/>
  <c r="G23" i="19"/>
  <c r="F23" i="19" s="1"/>
  <c r="G28" i="19"/>
  <c r="F28" i="19" s="1"/>
  <c r="G27" i="19"/>
  <c r="F27" i="19" s="1"/>
  <c r="G22" i="19"/>
  <c r="F22" i="19" s="1"/>
  <c r="G21" i="19"/>
  <c r="F21" i="19" s="1"/>
  <c r="G20" i="19"/>
  <c r="F20" i="19" s="1"/>
  <c r="D3" i="19"/>
  <c r="D4" i="19" s="1"/>
  <c r="G26" i="19" s="1"/>
  <c r="F26" i="19" l="1"/>
  <c r="G19" i="19"/>
  <c r="F19" i="19" s="1"/>
  <c r="G25" i="19"/>
  <c r="F25" i="19" s="1"/>
  <c r="B17" i="15"/>
  <c r="B18" i="15" s="1"/>
  <c r="D18" i="15" s="1"/>
  <c r="B4" i="15"/>
  <c r="G30" i="19" l="1"/>
  <c r="D5" i="15"/>
  <c r="B7" i="15"/>
  <c r="D7" i="15" s="1"/>
  <c r="G7" i="15" s="1"/>
  <c r="B9" i="15"/>
  <c r="B10" i="15" s="1"/>
  <c r="D3" i="15"/>
  <c r="D4" i="15"/>
  <c r="C10" i="11" l="1"/>
  <c r="H26" i="19"/>
  <c r="H24" i="19"/>
  <c r="H22" i="19"/>
  <c r="H23" i="19"/>
  <c r="H27" i="19"/>
  <c r="H20" i="19"/>
  <c r="H19" i="19"/>
  <c r="H25" i="19"/>
  <c r="H21" i="19"/>
  <c r="H28" i="19"/>
  <c r="D8" i="15"/>
  <c r="B8" i="15"/>
  <c r="C11" i="11" l="1"/>
  <c r="C4" i="13"/>
  <c r="B5" i="13"/>
  <c r="B3" i="13" s="1"/>
  <c r="B7" i="13" s="1"/>
  <c r="C6" i="13"/>
  <c r="B4" i="11"/>
  <c r="D5" i="11" s="1"/>
  <c r="C3" i="13" l="1"/>
  <c r="C5" i="11"/>
  <c r="B5" i="11"/>
  <c r="F5" i="11"/>
  <c r="E5" i="11"/>
  <c r="K9" i="9" l="1"/>
  <c r="M9" i="9" s="1"/>
  <c r="O9" i="9" s="1"/>
  <c r="Q9" i="9" s="1"/>
  <c r="J9" i="9"/>
  <c r="L9" i="9" s="1"/>
  <c r="N9" i="9" s="1"/>
  <c r="P9" i="9" s="1"/>
  <c r="R9" i="9" s="1"/>
  <c r="T9" i="9" s="1"/>
  <c r="AD12" i="9"/>
  <c r="AD11" i="9"/>
  <c r="AD10" i="9"/>
  <c r="S9" i="9" l="1"/>
  <c r="U9" i="9" s="1"/>
  <c r="Q10" i="9"/>
  <c r="G14" i="1"/>
  <c r="G13" i="1"/>
  <c r="D9" i="1"/>
  <c r="D8" i="1"/>
  <c r="C3" i="1"/>
  <c r="C4" i="1"/>
  <c r="C2" i="1"/>
  <c r="G7" i="1" s="1"/>
  <c r="B8" i="10"/>
  <c r="D10" i="1" s="1"/>
  <c r="AB5" i="9"/>
  <c r="AD20" i="1" s="1"/>
  <c r="AB4" i="9"/>
  <c r="AD19" i="1" s="1"/>
  <c r="X6" i="9"/>
  <c r="Z6" i="9"/>
  <c r="AB6" i="9"/>
  <c r="V6" i="9"/>
  <c r="B14" i="10" l="1"/>
  <c r="E15" i="1"/>
  <c r="D8" i="3" s="1"/>
  <c r="R5" i="9"/>
  <c r="T5" i="9" s="1"/>
  <c r="V5" i="9" s="1"/>
  <c r="X5" i="9" s="1"/>
  <c r="Z20" i="1" s="1"/>
  <c r="Z5" i="9" l="1"/>
  <c r="AB20" i="1" s="1"/>
  <c r="T6" i="9" l="1"/>
  <c r="R6" i="9"/>
  <c r="P6" i="9"/>
  <c r="B6" i="9"/>
  <c r="X20" i="1"/>
  <c r="C30" i="9"/>
  <c r="C33" i="9" s="1"/>
  <c r="C34" i="9" s="1"/>
  <c r="C35" i="9" s="1"/>
  <c r="AD4" i="9" l="1"/>
  <c r="R4" i="9"/>
  <c r="T4" i="9" l="1"/>
  <c r="V4" i="9" s="1"/>
  <c r="X4" i="9" s="1"/>
  <c r="T19" i="1"/>
  <c r="Z19" i="1" l="1"/>
  <c r="Z4" i="9"/>
  <c r="AB19" i="1" s="1"/>
  <c r="X19" i="1"/>
  <c r="V19" i="1"/>
  <c r="T20" i="1" l="1"/>
  <c r="V20" i="1"/>
  <c r="AD5" i="9"/>
  <c r="I14" i="1" l="1"/>
  <c r="K14" i="1" s="1"/>
  <c r="M14" i="1" s="1"/>
  <c r="O14" i="1" s="1"/>
  <c r="Q14" i="1" s="1"/>
  <c r="S14" i="1" s="1"/>
  <c r="U14" i="1" s="1"/>
  <c r="W14" i="1" s="1"/>
  <c r="Y14" i="1" s="1"/>
  <c r="AA14" i="1" s="1"/>
  <c r="AC14" i="1" s="1"/>
  <c r="AE14" i="1" s="1"/>
  <c r="G15" i="1" l="1"/>
  <c r="E8" i="3" s="1"/>
  <c r="I13" i="1"/>
  <c r="K13" i="1" s="1"/>
  <c r="M13" i="1" s="1"/>
  <c r="O13" i="1" s="1"/>
  <c r="Q13" i="1" s="1"/>
  <c r="S13" i="1" s="1"/>
  <c r="U13" i="1" s="1"/>
  <c r="W13" i="1" s="1"/>
  <c r="Y13" i="1" s="1"/>
  <c r="AA13" i="1" s="1"/>
  <c r="AC13" i="1" s="1"/>
  <c r="AE13" i="1" s="1"/>
  <c r="I7" i="1"/>
  <c r="F8" i="1"/>
  <c r="H8" i="1" s="1"/>
  <c r="E9" i="1"/>
  <c r="D19" i="1" s="1"/>
  <c r="F19" i="1" s="1"/>
  <c r="E8" i="1"/>
  <c r="E10" i="1"/>
  <c r="D20" i="1" s="1"/>
  <c r="F20" i="1" s="1"/>
  <c r="D5" i="9" l="1"/>
  <c r="H20" i="1"/>
  <c r="D7" i="3"/>
  <c r="D18" i="1"/>
  <c r="D4" i="9"/>
  <c r="H19" i="1"/>
  <c r="C3" i="9"/>
  <c r="I15" i="1"/>
  <c r="F8" i="3" s="1"/>
  <c r="G8" i="1"/>
  <c r="F18" i="1" s="1"/>
  <c r="D3" i="9" s="1"/>
  <c r="K7" i="1"/>
  <c r="I8" i="1"/>
  <c r="H18" i="1" s="1"/>
  <c r="F3" i="9" s="1"/>
  <c r="J8" i="1"/>
  <c r="D9" i="3"/>
  <c r="F5" i="9" l="1"/>
  <c r="J20" i="1"/>
  <c r="F4" i="9"/>
  <c r="J19" i="1"/>
  <c r="E7" i="3"/>
  <c r="K15" i="1"/>
  <c r="G8" i="3" s="1"/>
  <c r="C5" i="9"/>
  <c r="C4" i="9"/>
  <c r="E21" i="1"/>
  <c r="D11" i="3" s="1"/>
  <c r="M7" i="1"/>
  <c r="L8" i="1"/>
  <c r="K8" i="1"/>
  <c r="J18" i="1" s="1"/>
  <c r="H3" i="9" s="1"/>
  <c r="H4" i="9" l="1"/>
  <c r="L19" i="1"/>
  <c r="H5" i="9"/>
  <c r="L20" i="1"/>
  <c r="M15" i="1"/>
  <c r="H8" i="3" s="1"/>
  <c r="D21" i="1"/>
  <c r="B7" i="9" s="1"/>
  <c r="C7" i="9"/>
  <c r="O7" i="1"/>
  <c r="N8" i="1"/>
  <c r="M8" i="1"/>
  <c r="L18" i="1" s="1"/>
  <c r="J3" i="9" s="1"/>
  <c r="O15" i="1" l="1"/>
  <c r="I8" i="3" s="1"/>
  <c r="J5" i="9"/>
  <c r="N20" i="1"/>
  <c r="J4" i="9"/>
  <c r="N19" i="1"/>
  <c r="Q7" i="1"/>
  <c r="O8" i="1"/>
  <c r="N18" i="1" s="1"/>
  <c r="P8" i="1"/>
  <c r="Q15" i="1" l="1"/>
  <c r="J8" i="3" s="1"/>
  <c r="L4" i="9"/>
  <c r="P19" i="1"/>
  <c r="N4" i="9" s="1"/>
  <c r="L5" i="9"/>
  <c r="P20" i="1"/>
  <c r="N5" i="9" s="1"/>
  <c r="S7" i="1"/>
  <c r="Q8" i="1"/>
  <c r="P18" i="1" s="1"/>
  <c r="R8" i="1"/>
  <c r="T8" i="1" s="1"/>
  <c r="S15" i="1" l="1"/>
  <c r="K8" i="3" s="1"/>
  <c r="U7" i="1"/>
  <c r="U8" i="1" s="1"/>
  <c r="V8" i="1"/>
  <c r="S8" i="1"/>
  <c r="R18" i="1" s="1"/>
  <c r="U15" i="1" l="1"/>
  <c r="L8" i="3" s="1"/>
  <c r="B15" i="10"/>
  <c r="AB3" i="9" s="1"/>
  <c r="P3" i="9"/>
  <c r="W7" i="1"/>
  <c r="X8" i="1"/>
  <c r="Z8" i="1" s="1"/>
  <c r="W15" i="1" l="1"/>
  <c r="M8" i="3" s="1"/>
  <c r="AD18" i="1"/>
  <c r="Z3" i="9"/>
  <c r="X3" i="9" s="1"/>
  <c r="V3" i="9" s="1"/>
  <c r="T3" i="9" s="1"/>
  <c r="AB8" i="1"/>
  <c r="Y7" i="1"/>
  <c r="AA7" i="1" s="1"/>
  <c r="W8" i="1"/>
  <c r="Y15" i="1" l="1"/>
  <c r="N8" i="3" s="1"/>
  <c r="AD8" i="1"/>
  <c r="AA8" i="1"/>
  <c r="AC7" i="1"/>
  <c r="Y8" i="1"/>
  <c r="AA15" i="1" l="1"/>
  <c r="O8" i="3" s="1"/>
  <c r="AC8" i="1"/>
  <c r="AE7" i="1"/>
  <c r="D10" i="3"/>
  <c r="D12" i="3" s="1"/>
  <c r="AC15" i="1" l="1"/>
  <c r="P8" i="3" s="1"/>
  <c r="B8" i="9"/>
  <c r="AE8" i="1"/>
  <c r="AE15" i="1" l="1"/>
  <c r="Q8" i="3" s="1"/>
  <c r="F9" i="1"/>
  <c r="H9" i="1" l="1"/>
  <c r="F10" i="1"/>
  <c r="G10" i="1" s="1"/>
  <c r="G20" i="1" s="1"/>
  <c r="E5" i="9" s="1"/>
  <c r="G9" i="1"/>
  <c r="G19" i="1" s="1"/>
  <c r="E4" i="9" s="1"/>
  <c r="E9" i="3" l="1"/>
  <c r="E10" i="3" s="1"/>
  <c r="G21" i="1"/>
  <c r="E7" i="9" s="1"/>
  <c r="H10" i="1"/>
  <c r="I10" i="1" s="1"/>
  <c r="I20" i="1" s="1"/>
  <c r="G5" i="9" s="1"/>
  <c r="I9" i="1"/>
  <c r="I19" i="1" s="1"/>
  <c r="G4" i="9" s="1"/>
  <c r="J9" i="1"/>
  <c r="E11" i="3" l="1"/>
  <c r="E12" i="3" s="1"/>
  <c r="F9" i="3"/>
  <c r="F21" i="1"/>
  <c r="D7" i="9" s="1"/>
  <c r="K9" i="1"/>
  <c r="K19" i="1" s="1"/>
  <c r="I4" i="9" s="1"/>
  <c r="L9" i="1"/>
  <c r="J10" i="1"/>
  <c r="K10" i="1" s="1"/>
  <c r="K20" i="1" s="1"/>
  <c r="I5" i="9" s="1"/>
  <c r="E14" i="3" l="1"/>
  <c r="D8" i="9"/>
  <c r="D10" i="9" s="1"/>
  <c r="C8" i="9"/>
  <c r="G9" i="3"/>
  <c r="L10" i="1"/>
  <c r="M10" i="1" s="1"/>
  <c r="M20" i="1" s="1"/>
  <c r="K5" i="9" s="1"/>
  <c r="N9" i="1"/>
  <c r="M9" i="1"/>
  <c r="M19" i="1" s="1"/>
  <c r="K4" i="9" s="1"/>
  <c r="H9" i="3" l="1"/>
  <c r="N10" i="1"/>
  <c r="O10" i="1" s="1"/>
  <c r="O20" i="1" s="1"/>
  <c r="M5" i="9" s="1"/>
  <c r="O9" i="1"/>
  <c r="O19" i="1" s="1"/>
  <c r="M4" i="9" s="1"/>
  <c r="P9" i="1"/>
  <c r="I9" i="3" l="1"/>
  <c r="Q9" i="1"/>
  <c r="Q19" i="1" s="1"/>
  <c r="O4" i="9" s="1"/>
  <c r="P10" i="1"/>
  <c r="Q10" i="1" s="1"/>
  <c r="Q20" i="1" s="1"/>
  <c r="O5" i="9" s="1"/>
  <c r="R9" i="1"/>
  <c r="J9" i="3" l="1"/>
  <c r="R10" i="1"/>
  <c r="S10" i="1" s="1"/>
  <c r="S20" i="1" s="1"/>
  <c r="Q5" i="9" s="1"/>
  <c r="S9" i="1"/>
  <c r="S19" i="1" s="1"/>
  <c r="Q4" i="9" s="1"/>
  <c r="T9" i="1"/>
  <c r="K9" i="3" l="1"/>
  <c r="T10" i="1"/>
  <c r="U10" i="1" s="1"/>
  <c r="U20" i="1" s="1"/>
  <c r="V9" i="1"/>
  <c r="U9" i="1"/>
  <c r="U19" i="1" s="1"/>
  <c r="S4" i="9" s="1"/>
  <c r="L9" i="3" l="1"/>
  <c r="S5" i="9"/>
  <c r="V10" i="1"/>
  <c r="W10" i="1" s="1"/>
  <c r="W20" i="1" s="1"/>
  <c r="M9" i="3" s="1"/>
  <c r="W9" i="1"/>
  <c r="W19" i="1" s="1"/>
  <c r="X9" i="1"/>
  <c r="Z9" i="1" s="1"/>
  <c r="AB9" i="1" l="1"/>
  <c r="Z10" i="1"/>
  <c r="AA10" i="1" s="1"/>
  <c r="AA9" i="1"/>
  <c r="U5" i="9"/>
  <c r="U4" i="9"/>
  <c r="Y9" i="1"/>
  <c r="Y19" i="1" s="1"/>
  <c r="W4" i="9" s="1"/>
  <c r="X10" i="1"/>
  <c r="Y10" i="1" s="1"/>
  <c r="Y20" i="1" s="1"/>
  <c r="O9" i="3" s="1"/>
  <c r="AD9" i="1" l="1"/>
  <c r="AB10" i="1"/>
  <c r="AC10" i="1" s="1"/>
  <c r="AC9" i="1"/>
  <c r="N9" i="3"/>
  <c r="W5" i="9"/>
  <c r="AD10" i="1" l="1"/>
  <c r="AE10" i="1" s="1"/>
  <c r="AE9" i="1"/>
  <c r="AA19" i="1" l="1"/>
  <c r="Y4" i="9" l="1"/>
  <c r="AA20" i="1"/>
  <c r="AC19" i="1"/>
  <c r="AA4" i="9" s="1"/>
  <c r="AC20" i="1"/>
  <c r="Y5" i="9" l="1"/>
  <c r="P9" i="3"/>
  <c r="Q9" i="3"/>
  <c r="AA5" i="9"/>
  <c r="AE18" i="1"/>
  <c r="Q7" i="3" s="1"/>
  <c r="Q10" i="3" l="1"/>
  <c r="AC3" i="9"/>
  <c r="AE19" i="1"/>
  <c r="AC4" i="9" s="1"/>
  <c r="AE20" i="1"/>
  <c r="AE21" i="1" l="1"/>
  <c r="AC5" i="9"/>
  <c r="AB18" i="1"/>
  <c r="AC18" i="1" s="1"/>
  <c r="P7" i="3" s="1"/>
  <c r="P10" i="3" s="1"/>
  <c r="Q11" i="3" l="1"/>
  <c r="Q12" i="3" s="1"/>
  <c r="AC7" i="9"/>
  <c r="AD21" i="1"/>
  <c r="AB7" i="9" s="1"/>
  <c r="AC21" i="1"/>
  <c r="AA3" i="9"/>
  <c r="Q14" i="3" l="1"/>
  <c r="O8" i="9"/>
  <c r="O10" i="9" s="1"/>
  <c r="P11" i="3"/>
  <c r="P12" i="3" s="1"/>
  <c r="AB8" i="9"/>
  <c r="AB21" i="1"/>
  <c r="Z7" i="9" s="1"/>
  <c r="AA7" i="9"/>
  <c r="Z18" i="1"/>
  <c r="AA18" i="1" s="1"/>
  <c r="O7" i="3" s="1"/>
  <c r="O10" i="3" s="1"/>
  <c r="P14" i="3" l="1"/>
  <c r="Z8" i="9"/>
  <c r="Y3" i="9"/>
  <c r="AA21" i="1"/>
  <c r="O11" i="3" s="1"/>
  <c r="X18" i="1"/>
  <c r="Y18" i="1" s="1"/>
  <c r="Y7" i="9" l="1"/>
  <c r="O12" i="3"/>
  <c r="Z21" i="1"/>
  <c r="X7" i="9" s="1"/>
  <c r="Y21" i="1"/>
  <c r="N11" i="3" s="1"/>
  <c r="N7" i="3"/>
  <c r="N10" i="3" s="1"/>
  <c r="W3" i="9"/>
  <c r="O14" i="3" l="1"/>
  <c r="M8" i="9"/>
  <c r="M10" i="9" s="1"/>
  <c r="X8" i="9"/>
  <c r="W7" i="9"/>
  <c r="N12" i="3"/>
  <c r="N14" i="3" s="1"/>
  <c r="X21" i="1"/>
  <c r="V7" i="9" s="1"/>
  <c r="V8" i="9" l="1"/>
  <c r="V18" i="1"/>
  <c r="W18" i="1" s="1"/>
  <c r="R3" i="9"/>
  <c r="T18" i="1" s="1"/>
  <c r="U18" i="1" s="1"/>
  <c r="M7" i="3" l="1"/>
  <c r="M10" i="3" s="1"/>
  <c r="W21" i="1"/>
  <c r="U21" i="1"/>
  <c r="L11" i="3" s="1"/>
  <c r="S3" i="9"/>
  <c r="L7" i="3"/>
  <c r="L10" i="3" s="1"/>
  <c r="U3" i="9"/>
  <c r="U7" i="9" l="1"/>
  <c r="M11" i="3"/>
  <c r="M12" i="3" s="1"/>
  <c r="V21" i="1"/>
  <c r="T7" i="9" s="1"/>
  <c r="L12" i="3"/>
  <c r="L14" i="3" s="1"/>
  <c r="T21" i="1"/>
  <c r="R7" i="9" s="1"/>
  <c r="S7" i="9"/>
  <c r="M14" i="3" l="1"/>
  <c r="K8" i="9"/>
  <c r="K10" i="9" s="1"/>
  <c r="T8" i="9"/>
  <c r="R8" i="9"/>
  <c r="AD3" i="9"/>
  <c r="K7" i="3" l="1"/>
  <c r="S21" i="1"/>
  <c r="K10" i="3" l="1"/>
  <c r="D11" i="15"/>
  <c r="D17" i="15" s="1"/>
  <c r="K11" i="3"/>
  <c r="Q7" i="9"/>
  <c r="R21" i="1"/>
  <c r="P7" i="9" s="1"/>
  <c r="K3" i="9"/>
  <c r="H7" i="3" l="1"/>
  <c r="H10" i="3" s="1"/>
  <c r="M21" i="1"/>
  <c r="K12" i="3"/>
  <c r="D9" i="15" s="1"/>
  <c r="D10" i="15" s="1"/>
  <c r="D15" i="15" s="1"/>
  <c r="D14" i="15" s="1"/>
  <c r="D21" i="15" s="1"/>
  <c r="I3" i="9"/>
  <c r="G3" i="9"/>
  <c r="AD7" i="9"/>
  <c r="K14" i="3" l="1"/>
  <c r="P8" i="9"/>
  <c r="P10" i="9" s="1"/>
  <c r="I8" i="9"/>
  <c r="I10" i="9" s="1"/>
  <c r="H11" i="3"/>
  <c r="H12" i="3" s="1"/>
  <c r="K7" i="9"/>
  <c r="L21" i="1"/>
  <c r="J7" i="9" s="1"/>
  <c r="F7" i="3"/>
  <c r="F10" i="3" s="1"/>
  <c r="I21" i="1"/>
  <c r="K21" i="1"/>
  <c r="G7" i="3"/>
  <c r="G10" i="3" s="1"/>
  <c r="H14" i="3" l="1"/>
  <c r="J8" i="9"/>
  <c r="J10" i="9" s="1"/>
  <c r="G11" i="3"/>
  <c r="G12" i="3" s="1"/>
  <c r="I7" i="9"/>
  <c r="F11" i="3"/>
  <c r="F12" i="3" s="1"/>
  <c r="G7" i="9"/>
  <c r="J21" i="1"/>
  <c r="H7" i="9" s="1"/>
  <c r="H21" i="1"/>
  <c r="F7" i="9" s="1"/>
  <c r="F14" i="3" l="1"/>
  <c r="F8" i="9"/>
  <c r="F10" i="9" s="1"/>
  <c r="G14" i="3"/>
  <c r="H8" i="9"/>
  <c r="H10" i="9" s="1"/>
  <c r="E8" i="9"/>
  <c r="E10" i="9" s="1"/>
  <c r="M3" i="9" l="1"/>
  <c r="L3" i="9"/>
  <c r="N3" i="9"/>
  <c r="J7" i="3"/>
  <c r="J10" i="3" s="1"/>
  <c r="Q21" i="1"/>
  <c r="J11" i="3" s="1"/>
  <c r="I7" i="3"/>
  <c r="I10" i="3" s="1"/>
  <c r="O21" i="1"/>
  <c r="M7" i="9" s="1"/>
  <c r="N21" i="1" l="1"/>
  <c r="L7" i="9" s="1"/>
  <c r="J12" i="3"/>
  <c r="J14" i="3" s="1"/>
  <c r="I11" i="3"/>
  <c r="I12" i="3" s="1"/>
  <c r="N8" i="9"/>
  <c r="N10" i="9" s="1"/>
  <c r="P21" i="1"/>
  <c r="N7" i="9" s="1"/>
  <c r="O3" i="9"/>
  <c r="O7" i="9"/>
  <c r="I14" i="3" l="1"/>
  <c r="G8" i="9"/>
  <c r="G10" i="9" s="1"/>
  <c r="L8" i="9"/>
  <c r="L10" i="9" s="1"/>
</calcChain>
</file>

<file path=xl/comments1.xml><?xml version="1.0" encoding="utf-8"?>
<comments xmlns="http://schemas.openxmlformats.org/spreadsheetml/2006/main">
  <authors>
    <author>Bigeard, Mr Alexis - bf</author>
  </authors>
  <commentList>
    <comment ref="B5" authorId="0">
      <text>
        <r>
          <rPr>
            <b/>
            <sz val="9"/>
            <color indexed="81"/>
            <rFont val="Tahoma"/>
            <family val="2"/>
          </rPr>
          <t>Bigeard, Mr Alexis - bf:</t>
        </r>
        <r>
          <rPr>
            <sz val="9"/>
            <color indexed="81"/>
            <rFont val="Tahoma"/>
            <family val="2"/>
          </rPr>
          <t xml:space="preserve">
par le %</t>
        </r>
      </text>
    </comment>
  </commentList>
</comments>
</file>

<file path=xl/comments2.xml><?xml version="1.0" encoding="utf-8"?>
<comments xmlns="http://schemas.openxmlformats.org/spreadsheetml/2006/main">
  <authors>
    <author>Bigeard, Mr Alexis - bf</author>
  </authors>
  <commentList>
    <comment ref="B5" authorId="0">
      <text>
        <r>
          <rPr>
            <b/>
            <sz val="9"/>
            <color indexed="81"/>
            <rFont val="Tahoma"/>
            <family val="2"/>
          </rPr>
          <t>Bigeard, Mr Alexis - bf:</t>
        </r>
        <r>
          <rPr>
            <sz val="9"/>
            <color indexed="81"/>
            <rFont val="Tahoma"/>
            <family val="2"/>
          </rPr>
          <t xml:space="preserve">
CNS remis par CPS</t>
        </r>
      </text>
    </comment>
  </commentList>
</comments>
</file>

<file path=xl/comments3.xml><?xml version="1.0" encoding="utf-8"?>
<comments xmlns="http://schemas.openxmlformats.org/spreadsheetml/2006/main">
  <authors>
    <author>Bigeard, Mr Alexis - bf</author>
  </authors>
  <commentList>
    <comment ref="B17" authorId="0">
      <text>
        <r>
          <rPr>
            <b/>
            <sz val="9"/>
            <color indexed="81"/>
            <rFont val="Tahoma"/>
            <family val="2"/>
          </rPr>
          <t>Bigeard, Mr Alexis - bf:</t>
        </r>
        <r>
          <rPr>
            <sz val="9"/>
            <color indexed="81"/>
            <rFont val="Tahoma"/>
            <family val="2"/>
          </rPr>
          <t xml:space="preserve">
il est difficile de présenter des hypothèses moins ambitieuses aux vues des attentes du leadership</t>
        </r>
      </text>
    </comment>
    <comment ref="G18" authorId="0">
      <text>
        <r>
          <rPr>
            <b/>
            <sz val="9"/>
            <color indexed="81"/>
            <rFont val="Tahoma"/>
            <charset val="1"/>
          </rPr>
          <t>Bigeard, Mr Alexis - bf:</t>
        </r>
        <r>
          <rPr>
            <sz val="9"/>
            <color indexed="81"/>
            <rFont val="Tahoma"/>
            <charset val="1"/>
          </rPr>
          <t xml:space="preserve">
chiffres 2017-2020 annoncé dans la programmation</t>
        </r>
      </text>
    </comment>
  </commentList>
</comments>
</file>

<file path=xl/comments4.xml><?xml version="1.0" encoding="utf-8"?>
<comments xmlns="http://schemas.openxmlformats.org/spreadsheetml/2006/main">
  <authors>
    <author>Bigeard, Mr Alexis - bf</author>
  </authors>
  <commentList>
    <comment ref="C2" authorId="0">
      <text>
        <r>
          <rPr>
            <b/>
            <sz val="9"/>
            <color indexed="81"/>
            <rFont val="Tahoma"/>
            <family val="2"/>
          </rPr>
          <t>Bigeard, Mr Alexis - bf:</t>
        </r>
        <r>
          <rPr>
            <sz val="9"/>
            <color indexed="81"/>
            <rFont val="Tahoma"/>
            <family val="2"/>
          </rPr>
          <t xml:space="preserve">
il a été décidé 1000 CFA, ce qui paraît beaucoup</t>
        </r>
      </text>
    </comment>
    <comment ref="H4" authorId="0">
      <text>
        <r>
          <rPr>
            <b/>
            <sz val="9"/>
            <color indexed="81"/>
            <rFont val="Tahoma"/>
            <family val="2"/>
          </rPr>
          <t>Bigeard, Mr Alexis - bf:</t>
        </r>
        <r>
          <rPr>
            <sz val="9"/>
            <color indexed="81"/>
            <rFont val="Tahoma"/>
            <family val="2"/>
          </rPr>
          <t xml:space="preserve">
on sait que c'est 5% mais et le plafond est à 15000</t>
        </r>
      </text>
    </comment>
  </commentList>
</comments>
</file>

<file path=xl/sharedStrings.xml><?xml version="1.0" encoding="utf-8"?>
<sst xmlns="http://schemas.openxmlformats.org/spreadsheetml/2006/main" count="241" uniqueCount="208">
  <si>
    <t>secteur formel</t>
  </si>
  <si>
    <t>secteur informel</t>
  </si>
  <si>
    <t>pauvre</t>
  </si>
  <si>
    <t>non pauvre</t>
  </si>
  <si>
    <t>accroissement pop</t>
  </si>
  <si>
    <t>évolution secteur formel / an</t>
  </si>
  <si>
    <t>évolution extrême pauvreté</t>
  </si>
  <si>
    <t>Total population</t>
  </si>
  <si>
    <t>Inflation</t>
  </si>
  <si>
    <t>Hausse supplémentaire du coût de la santé</t>
  </si>
  <si>
    <t>HYPOTHESE % CIBLES</t>
  </si>
  <si>
    <t>SF</t>
  </si>
  <si>
    <t>SI pauvre</t>
  </si>
  <si>
    <t>SI non pauvre</t>
  </si>
  <si>
    <t>HYPOTHESES DE COUVERTURE</t>
  </si>
  <si>
    <t>Total couverture</t>
  </si>
  <si>
    <t>CFA</t>
  </si>
  <si>
    <t>la première année</t>
  </si>
  <si>
    <t xml:space="preserve">CFA </t>
  </si>
  <si>
    <t>par la suite</t>
  </si>
  <si>
    <t>moyenne de la cotisation des individus du secteur formel</t>
  </si>
  <si>
    <t>Hypothèses</t>
  </si>
  <si>
    <t>Perçu</t>
  </si>
  <si>
    <t>SI</t>
  </si>
  <si>
    <t>Total</t>
  </si>
  <si>
    <t>Coût des soins pcpa</t>
  </si>
  <si>
    <t>A payer</t>
  </si>
  <si>
    <t>Gap</t>
  </si>
  <si>
    <t xml:space="preserve"> par mois</t>
  </si>
  <si>
    <t>HYPOTHESE EVOLUTION DES COUTS</t>
  </si>
  <si>
    <t xml:space="preserve">cotisation par personne </t>
  </si>
  <si>
    <t>PIB</t>
  </si>
  <si>
    <t>Gap / PIB</t>
  </si>
  <si>
    <t>% secteur formel</t>
  </si>
  <si>
    <t>% secteur informel non pauvre</t>
  </si>
  <si>
    <t>Hausse annuel supplémentaire du coût de la santé</t>
  </si>
  <si>
    <t>Contribution annuelle du secteur formel</t>
  </si>
  <si>
    <t>Contribution annuelle du secteur informel non pauvre</t>
  </si>
  <si>
    <t>HYPOTHESE 1 - croissance différenciée</t>
  </si>
  <si>
    <t>Croissance du PNB</t>
  </si>
  <si>
    <t>% indigent</t>
  </si>
  <si>
    <t>x</t>
  </si>
  <si>
    <t>résultat</t>
  </si>
  <si>
    <t>Secteur formel</t>
  </si>
  <si>
    <t>Total % de la population couverte en 2029</t>
  </si>
  <si>
    <t>% du PIB que représente la subvention en 2029</t>
  </si>
  <si>
    <t>Subvention de l'Etat au secteur informel en milliards de FCFA</t>
  </si>
  <si>
    <t>Secteur informel pauvre</t>
  </si>
  <si>
    <t>Secteur informel non pauvre</t>
  </si>
  <si>
    <t>% de la population malienne couverte par l'AMU</t>
  </si>
  <si>
    <t>Dépenses courantes (programmation budgétaire 2018-2020 extrapolée)</t>
  </si>
  <si>
    <t>Subvention de l'Etat à l'AMU pour le secteur informel en % des dépenses courantes du budget</t>
  </si>
  <si>
    <t>Subvention secteur informel non pauvre</t>
  </si>
  <si>
    <t xml:space="preserve">SUBVENTIONS </t>
  </si>
  <si>
    <t>%</t>
  </si>
  <si>
    <t>CMSS (non santé)</t>
  </si>
  <si>
    <t>ANAM</t>
  </si>
  <si>
    <t>CANAM</t>
  </si>
  <si>
    <t>Etat employeur</t>
  </si>
  <si>
    <t>Mutuelles</t>
  </si>
  <si>
    <t>Gratuités</t>
  </si>
  <si>
    <t>Fonction Santé</t>
  </si>
  <si>
    <t>Budget total</t>
  </si>
  <si>
    <t>Pop 2016</t>
  </si>
  <si>
    <t>Population RAMED</t>
  </si>
  <si>
    <t>2013</t>
  </si>
  <si>
    <t>2014</t>
  </si>
  <si>
    <t>2015</t>
  </si>
  <si>
    <t>2016</t>
  </si>
  <si>
    <t>Population mutualiste</t>
  </si>
  <si>
    <t>Population AMO</t>
  </si>
  <si>
    <t>Total assurés</t>
  </si>
  <si>
    <t>Secteur santé / total budget (allocation)</t>
  </si>
  <si>
    <t>Etat hors AM</t>
  </si>
  <si>
    <t>Etat AM</t>
  </si>
  <si>
    <t>Privé AM</t>
  </si>
  <si>
    <t>Ménages OOP</t>
  </si>
  <si>
    <t>AMU</t>
  </si>
  <si>
    <t>CRM sur fonction Santé</t>
  </si>
  <si>
    <t>Nombre</t>
  </si>
  <si>
    <t>% de la population</t>
  </si>
  <si>
    <t>Population du Mali</t>
  </si>
  <si>
    <t>Historique de l'allocation budgétaire santé (en % du budget TOTAL)</t>
  </si>
  <si>
    <t>Total non assurés</t>
  </si>
  <si>
    <t>Coeff augmentation</t>
  </si>
  <si>
    <t>Part AMU dans le total</t>
  </si>
  <si>
    <t>déduction</t>
  </si>
  <si>
    <t>*</t>
  </si>
  <si>
    <t>Toatl du financement santé par l'Etat</t>
  </si>
  <si>
    <t>Source</t>
  </si>
  <si>
    <t>Dépense / hab en USD</t>
  </si>
  <si>
    <t>Répartition :</t>
  </si>
  <si>
    <t xml:space="preserve">gratuité </t>
  </si>
  <si>
    <t>gratuité en %</t>
  </si>
  <si>
    <t>hors C/S en 2023</t>
  </si>
  <si>
    <t>inclus C/S en 2023</t>
  </si>
  <si>
    <t>CE</t>
  </si>
  <si>
    <t>Désignation</t>
  </si>
  <si>
    <t>SANTE</t>
  </si>
  <si>
    <t>Exécuté</t>
  </si>
  <si>
    <t>protection sociale santé</t>
  </si>
  <si>
    <t>Subvent. aux organismes publics (Prog. SIDA)</t>
  </si>
  <si>
    <t>Subvent. aux organismes publics (Prog. Palu)</t>
  </si>
  <si>
    <t>Achat de vaccins</t>
  </si>
  <si>
    <t>Subvention césarienne</t>
  </si>
  <si>
    <t>Subvention Lutte contre Palu. malnutrit° promot° Hygiène</t>
  </si>
  <si>
    <t>Subvention femmes cancereuses</t>
  </si>
  <si>
    <t>SOLIDARITE</t>
  </si>
  <si>
    <t>Subvention (Mutuelle)</t>
  </si>
  <si>
    <t>Subvention aux organismes publics (prestat° RAMED)</t>
  </si>
  <si>
    <t>HCNLS</t>
  </si>
  <si>
    <t>Lutte contre les IST/SIDA</t>
  </si>
  <si>
    <t>CNS</t>
  </si>
  <si>
    <t>Total des dépenses de santé</t>
  </si>
  <si>
    <t>idem</t>
  </si>
  <si>
    <t>Rapport Etat AM sur hors Etat</t>
  </si>
  <si>
    <t>Graphique :</t>
  </si>
  <si>
    <t>Doit être de 4 points sur 28 soit 14,3%**</t>
  </si>
  <si>
    <t>calc</t>
  </si>
  <si>
    <t>objectif fixé - ambitieux***</t>
  </si>
  <si>
    <t>*** la part OOP peut être plus élevée et alors la dépense totale part habitant s'accroît également - car la part Etat est cadrée</t>
  </si>
  <si>
    <t>cns</t>
  </si>
  <si>
    <t>check</t>
  </si>
  <si>
    <t>Autre privé</t>
  </si>
  <si>
    <t>hypothèse de stabilisation</t>
  </si>
  <si>
    <t xml:space="preserve"> perspectives 2023</t>
  </si>
  <si>
    <t>Countries</t>
  </si>
  <si>
    <t>Indicators</t>
  </si>
  <si>
    <t>Value</t>
  </si>
  <si>
    <t>Mali</t>
  </si>
  <si>
    <t>Total Health Expenditure (THE) % Gross Domestic Product (GDP)</t>
  </si>
  <si>
    <t/>
  </si>
  <si>
    <t>General Government Health Expenditure (GGHE) as % of Total Health Expenditure</t>
  </si>
  <si>
    <t>Private Health Expenditure (PvtHE) as % of Total Health Expenditure (THE)</t>
  </si>
  <si>
    <t>General Government Health Expenditure (GGHE) as % of General government expenditure (GGE)</t>
  </si>
  <si>
    <t>External Resources on Health as % of Total Health Expenditure (THE)</t>
  </si>
  <si>
    <t>Out of Pocket Expenditure (OOPS) as % of Total Health Expenditure (THE)</t>
  </si>
  <si>
    <t>Total Health Expenditure (THE) per Capita in Int$ (Purchasing Power Parity)</t>
  </si>
  <si>
    <t>Out of Pocket Expenditure (OOPS) per Capita in US$</t>
  </si>
  <si>
    <t>Part des dépenses totales de santé dans le PNB</t>
  </si>
  <si>
    <t>Part des dépenses du gouvernement dans le total des dépenses de santé</t>
  </si>
  <si>
    <t>Part des ressouces extérieures dans le total des dépenses de santé</t>
  </si>
  <si>
    <t>Part des paiements directs des ménages dans le total des dépenses de santé</t>
  </si>
  <si>
    <t>Part des autres paiements privés</t>
  </si>
  <si>
    <t xml:space="preserve"> http://apps.who.int/nha/database/Select/Indicators/en </t>
  </si>
  <si>
    <t>Charges communes (part patronale)</t>
  </si>
  <si>
    <t>Affaires étrangères (frais médicaux)</t>
  </si>
  <si>
    <t>Défense</t>
  </si>
  <si>
    <t>Total fichier 610_cr</t>
  </si>
  <si>
    <t>Ministère de la femme</t>
  </si>
  <si>
    <t>dont CANAM</t>
  </si>
  <si>
    <t>dont ANAM</t>
  </si>
  <si>
    <t>Total fichier 660_cr (2 min + EP)</t>
  </si>
  <si>
    <t>Soit :</t>
  </si>
  <si>
    <t>Fonction santé</t>
  </si>
  <si>
    <t>dont part patronale AMO</t>
  </si>
  <si>
    <t>Affaires étrangères</t>
  </si>
  <si>
    <t>Ministère de la Santé hors gratuité</t>
  </si>
  <si>
    <t>dont CMSS</t>
  </si>
  <si>
    <t>Fonction santé (avec CMSS et autres…)</t>
  </si>
  <si>
    <t>MSAH santé</t>
  </si>
  <si>
    <t>Soit</t>
  </si>
  <si>
    <t>Part patronale AMO</t>
  </si>
  <si>
    <t>en millions</t>
  </si>
  <si>
    <t>Budget récurrent déduit</t>
  </si>
  <si>
    <t>Selon doc programmation</t>
  </si>
  <si>
    <t>Dépenses courantes 2016</t>
  </si>
  <si>
    <t>Dépenses totales 2016</t>
  </si>
  <si>
    <t>Donc rapport</t>
  </si>
  <si>
    <t>Or dépenses courantes / BEE</t>
  </si>
  <si>
    <t>Donc secteur santé / dépenses courantes</t>
  </si>
  <si>
    <t>part sur l'AM</t>
  </si>
  <si>
    <t>Part sur la CRM</t>
  </si>
  <si>
    <t>MASH hors non santé (déduction)</t>
  </si>
  <si>
    <t>Coût du paquet de soins (FCFA)</t>
  </si>
  <si>
    <t>FCFA</t>
  </si>
  <si>
    <t>milliards FCFA</t>
  </si>
  <si>
    <t>PIB 2017-2020 d'après programmation budgétaire</t>
  </si>
  <si>
    <t xml:space="preserve">Evolution moyenne du PIB entre 2017 et 2010 de : </t>
  </si>
  <si>
    <t>Extrapolé au-delà de 2020</t>
  </si>
  <si>
    <t>% de la population formelle couverte en 2023</t>
  </si>
  <si>
    <t>% de la population indigente couverte en 2023</t>
  </si>
  <si>
    <t>% de la population informelle non pauvre couverte en 2023</t>
  </si>
  <si>
    <t>en utilisant les projections de la programmation budgétaire, soit 200.000 de plus par année</t>
  </si>
  <si>
    <t>*taux de croissance prévu dans la programmation budgétaire pour 2018-2020. Comme on tient compte de l'inflation  et d'une hausse supplémentaire des coûts santé on ne prend pas en compte le déflateur</t>
  </si>
  <si>
    <t>Accroissement de la population</t>
  </si>
  <si>
    <t>Ministères Santé et associés (déduction)</t>
  </si>
  <si>
    <t>autre charges communes</t>
  </si>
  <si>
    <t>Autres charges communes</t>
  </si>
  <si>
    <t>MPFFE</t>
  </si>
  <si>
    <t>Fonction santé d'après les deux fichiers et en enlevant la CMSS</t>
  </si>
  <si>
    <t>Fonction santé d'après le tableau envoyé par la DGB</t>
  </si>
  <si>
    <t>Et</t>
  </si>
  <si>
    <t>d'après les projections AMU****</t>
  </si>
  <si>
    <t>**** soit: les cotisations du secteur informel + la cotisation du secteur formel calculée en enlevant la part de l'Etat employeur extrapolée du revenu AMU du secteur formel</t>
  </si>
  <si>
    <t>chiffre qui donne la meilleure approximation</t>
  </si>
  <si>
    <t>Chiffre déduit</t>
  </si>
  <si>
    <t xml:space="preserve">**hypothèse que le secteur santé représente 14% du budget récurrent et que le financement des PTF représente toujours autant que les ressources domestiques; </t>
  </si>
  <si>
    <t xml:space="preserve">l'AM compte pour 3,61 points des dépenses et les gratuités 0,53 points soit un total de 4,14 points sur 14; avec les dépenses PTF ça devient 4,14 points contre 28 points soit un rapport de 14,79%. </t>
  </si>
  <si>
    <t xml:space="preserve">On ajuste les dépenses par habitant pour obtenir ce ratio. </t>
  </si>
  <si>
    <t>Budget</t>
  </si>
  <si>
    <t>Prestations AM</t>
  </si>
  <si>
    <t>ANAM (2016)</t>
  </si>
  <si>
    <t>Budget utilisé</t>
  </si>
  <si>
    <t xml:space="preserve">% </t>
  </si>
  <si>
    <t>sur budget</t>
  </si>
  <si>
    <t>sur utilisé</t>
  </si>
  <si>
    <t>CRM sur budget Etat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</si>
</sst>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€_-;\-* #,##0.00\ _€_-;_-* &quot;-&quot;??\ _€_-;_-@_-"/>
    <numFmt numFmtId="164" formatCode="_-* #,##0\ _€_-;\-* #,##0\ _€_-;_-* &quot;-&quot;??\ _€_-;_-@_-"/>
    <numFmt numFmtId="165" formatCode="0.0%"/>
    <numFmt numFmtId="166" formatCode="#,##0_ ;\-#,##0\ "/>
    <numFmt numFmtId="167" formatCode="#,##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3" tint="0.39997558519241921"/>
      <name val="Calibri"/>
      <family val="2"/>
      <scheme val="minor"/>
    </font>
    <font>
      <b/>
      <sz val="12"/>
      <color theme="3" tint="0.3999755851924192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0E0E0"/>
      </patternFill>
    </fill>
    <fill>
      <patternFill patternType="solid">
        <fgColor rgb="FFF3F3F3"/>
      </patternFill>
    </fill>
    <fill>
      <patternFill patternType="solid">
        <fgColor theme="8"/>
        <bgColor indexed="64"/>
      </patternFill>
    </fill>
    <fill>
      <patternFill patternType="solid">
        <fgColor theme="3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rgb="FFC0C0C0"/>
      </bottom>
      <diagonal/>
    </border>
    <border>
      <left/>
      <right/>
      <top style="medium">
        <color rgb="FFC0C0C0"/>
      </top>
      <bottom/>
      <diagonal/>
    </border>
    <border>
      <left/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/>
      <top/>
      <bottom/>
      <diagonal/>
    </border>
    <border>
      <left/>
      <right style="medium">
        <color rgb="FFC0C0C0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</cellStyleXfs>
  <cellXfs count="236">
    <xf numFmtId="0" fontId="0" fillId="0" borderId="0" xfId="0"/>
    <xf numFmtId="164" fontId="0" fillId="0" borderId="0" xfId="1" applyNumberFormat="1" applyFont="1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/>
    <xf numFmtId="9" fontId="0" fillId="0" borderId="1" xfId="0" applyNumberFormat="1" applyBorder="1"/>
    <xf numFmtId="0" fontId="3" fillId="2" borderId="1" xfId="0" applyFont="1" applyFill="1" applyBorder="1"/>
    <xf numFmtId="1" fontId="0" fillId="0" borderId="1" xfId="0" applyNumberFormat="1" applyBorder="1"/>
    <xf numFmtId="9" fontId="2" fillId="0" borderId="1" xfId="0" applyNumberFormat="1" applyFont="1" applyBorder="1"/>
    <xf numFmtId="0" fontId="2" fillId="0" borderId="1" xfId="0" applyFont="1" applyBorder="1"/>
    <xf numFmtId="0" fontId="0" fillId="3" borderId="1" xfId="0" applyFill="1" applyBorder="1"/>
    <xf numFmtId="164" fontId="0" fillId="3" borderId="1" xfId="0" applyNumberFormat="1" applyFill="1" applyBorder="1"/>
    <xf numFmtId="0" fontId="3" fillId="4" borderId="1" xfId="0" applyFont="1" applyFill="1" applyBorder="1"/>
    <xf numFmtId="9" fontId="0" fillId="3" borderId="1" xfId="2" applyFont="1" applyFill="1" applyBorder="1"/>
    <xf numFmtId="164" fontId="0" fillId="0" borderId="1" xfId="1" applyNumberFormat="1" applyFont="1" applyBorder="1"/>
    <xf numFmtId="9" fontId="0" fillId="0" borderId="1" xfId="2" applyFont="1" applyBorder="1"/>
    <xf numFmtId="10" fontId="0" fillId="0" borderId="1" xfId="2" applyNumberFormat="1" applyFont="1" applyBorder="1"/>
    <xf numFmtId="164" fontId="2" fillId="0" borderId="1" xfId="1" applyNumberFormat="1" applyFont="1" applyBorder="1"/>
    <xf numFmtId="0" fontId="6" fillId="0" borderId="1" xfId="0" applyFont="1" applyBorder="1"/>
    <xf numFmtId="164" fontId="0" fillId="0" borderId="0" xfId="0" applyNumberFormat="1"/>
    <xf numFmtId="0" fontId="0" fillId="0" borderId="10" xfId="0" applyBorder="1"/>
    <xf numFmtId="0" fontId="0" fillId="0" borderId="12" xfId="0" applyBorder="1"/>
    <xf numFmtId="9" fontId="0" fillId="0" borderId="13" xfId="0" applyNumberFormat="1" applyBorder="1" applyAlignment="1">
      <alignment horizontal="right"/>
    </xf>
    <xf numFmtId="0" fontId="0" fillId="3" borderId="12" xfId="0" applyFill="1" applyBorder="1"/>
    <xf numFmtId="0" fontId="0" fillId="3" borderId="14" xfId="0" applyFill="1" applyBorder="1"/>
    <xf numFmtId="0" fontId="0" fillId="0" borderId="3" xfId="0" applyBorder="1" applyAlignment="1"/>
    <xf numFmtId="0" fontId="0" fillId="0" borderId="19" xfId="0" applyBorder="1"/>
    <xf numFmtId="164" fontId="0" fillId="0" borderId="13" xfId="1" applyNumberFormat="1" applyFont="1" applyBorder="1"/>
    <xf numFmtId="9" fontId="0" fillId="0" borderId="0" xfId="2" applyFont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9" fontId="0" fillId="2" borderId="1" xfId="0" applyNumberFormat="1" applyFill="1" applyBorder="1"/>
    <xf numFmtId="164" fontId="0" fillId="2" borderId="1" xfId="0" applyNumberFormat="1" applyFill="1" applyBorder="1"/>
    <xf numFmtId="0" fontId="0" fillId="2" borderId="0" xfId="0" applyFill="1"/>
    <xf numFmtId="0" fontId="0" fillId="2" borderId="1" xfId="0" applyFill="1" applyBorder="1"/>
    <xf numFmtId="0" fontId="2" fillId="2" borderId="1" xfId="0" applyFont="1" applyFill="1" applyBorder="1"/>
    <xf numFmtId="9" fontId="2" fillId="2" borderId="1" xfId="0" applyNumberFormat="1" applyFont="1" applyFill="1" applyBorder="1"/>
    <xf numFmtId="1" fontId="0" fillId="2" borderId="1" xfId="0" applyNumberFormat="1" applyFill="1" applyBorder="1"/>
    <xf numFmtId="9" fontId="0" fillId="2" borderId="1" xfId="2" applyFont="1" applyFill="1" applyBorder="1"/>
    <xf numFmtId="0" fontId="0" fillId="0" borderId="0" xfId="0" applyBorder="1"/>
    <xf numFmtId="43" fontId="0" fillId="0" borderId="22" xfId="0" applyNumberFormat="1" applyBorder="1"/>
    <xf numFmtId="0" fontId="0" fillId="0" borderId="22" xfId="0" applyBorder="1"/>
    <xf numFmtId="0" fontId="0" fillId="0" borderId="15" xfId="0" applyBorder="1"/>
    <xf numFmtId="0" fontId="0" fillId="6" borderId="0" xfId="0" applyFill="1"/>
    <xf numFmtId="0" fontId="0" fillId="6" borderId="18" xfId="0" applyFill="1" applyBorder="1"/>
    <xf numFmtId="0" fontId="0" fillId="0" borderId="24" xfId="0" applyBorder="1"/>
    <xf numFmtId="9" fontId="0" fillId="0" borderId="0" xfId="0" applyNumberFormat="1" applyBorder="1"/>
    <xf numFmtId="0" fontId="0" fillId="0" borderId="25" xfId="0" applyBorder="1"/>
    <xf numFmtId="0" fontId="0" fillId="0" borderId="26" xfId="0" applyBorder="1"/>
    <xf numFmtId="9" fontId="0" fillId="0" borderId="29" xfId="2" applyFont="1" applyBorder="1"/>
    <xf numFmtId="164" fontId="0" fillId="0" borderId="30" xfId="1" applyNumberFormat="1" applyFont="1" applyBorder="1"/>
    <xf numFmtId="0" fontId="0" fillId="2" borderId="1" xfId="0" applyFill="1" applyBorder="1" applyAlignment="1">
      <alignment horizontal="center"/>
    </xf>
    <xf numFmtId="165" fontId="2" fillId="0" borderId="1" xfId="2" applyNumberFormat="1" applyFont="1" applyBorder="1"/>
    <xf numFmtId="9" fontId="6" fillId="0" borderId="1" xfId="0" applyNumberFormat="1" applyFont="1" applyBorder="1"/>
    <xf numFmtId="1" fontId="2" fillId="5" borderId="1" xfId="0" applyNumberFormat="1" applyFont="1" applyFill="1" applyBorder="1"/>
    <xf numFmtId="0" fontId="6" fillId="0" borderId="13" xfId="0" applyFont="1" applyBorder="1" applyAlignment="1">
      <alignment horizontal="right"/>
    </xf>
    <xf numFmtId="9" fontId="7" fillId="0" borderId="13" xfId="0" applyNumberFormat="1" applyFont="1" applyBorder="1" applyAlignment="1">
      <alignment horizontal="right"/>
    </xf>
    <xf numFmtId="164" fontId="0" fillId="0" borderId="0" xfId="1" applyNumberFormat="1" applyFont="1" applyBorder="1"/>
    <xf numFmtId="0" fontId="0" fillId="0" borderId="0" xfId="0" applyFill="1" applyBorder="1"/>
    <xf numFmtId="164" fontId="0" fillId="0" borderId="0" xfId="0" applyNumberFormat="1" applyBorder="1"/>
    <xf numFmtId="10" fontId="0" fillId="0" borderId="0" xfId="0" applyNumberFormat="1"/>
    <xf numFmtId="43" fontId="0" fillId="0" borderId="0" xfId="0" applyNumberFormat="1" applyBorder="1"/>
    <xf numFmtId="9" fontId="0" fillId="0" borderId="3" xfId="2" applyFont="1" applyBorder="1"/>
    <xf numFmtId="9" fontId="0" fillId="0" borderId="6" xfId="2" applyFont="1" applyBorder="1"/>
    <xf numFmtId="43" fontId="0" fillId="0" borderId="34" xfId="0" applyNumberFormat="1" applyBorder="1"/>
    <xf numFmtId="0" fontId="8" fillId="0" borderId="20" xfId="0" applyFont="1" applyBorder="1" applyAlignment="1">
      <alignment wrapText="1"/>
    </xf>
    <xf numFmtId="0" fontId="9" fillId="0" borderId="31" xfId="0" applyFont="1" applyBorder="1" applyAlignment="1">
      <alignment wrapText="1"/>
    </xf>
    <xf numFmtId="0" fontId="9" fillId="0" borderId="32" xfId="0" applyFont="1" applyBorder="1" applyAlignment="1">
      <alignment wrapText="1"/>
    </xf>
    <xf numFmtId="0" fontId="9" fillId="0" borderId="17" xfId="0" applyFont="1" applyBorder="1" applyAlignment="1">
      <alignment wrapText="1"/>
    </xf>
    <xf numFmtId="43" fontId="11" fillId="0" borderId="28" xfId="0" applyNumberFormat="1" applyFont="1" applyBorder="1"/>
    <xf numFmtId="0" fontId="9" fillId="0" borderId="10" xfId="0" applyFont="1" applyBorder="1" applyAlignment="1">
      <alignment wrapText="1"/>
    </xf>
    <xf numFmtId="43" fontId="11" fillId="0" borderId="21" xfId="0" applyNumberFormat="1" applyFont="1" applyBorder="1"/>
    <xf numFmtId="43" fontId="9" fillId="0" borderId="21" xfId="0" applyNumberFormat="1" applyFont="1" applyBorder="1"/>
    <xf numFmtId="43" fontId="9" fillId="0" borderId="24" xfId="0" applyNumberFormat="1" applyFont="1" applyBorder="1"/>
    <xf numFmtId="0" fontId="8" fillId="0" borderId="14" xfId="0" applyFont="1" applyBorder="1" applyAlignment="1">
      <alignment wrapText="1"/>
    </xf>
    <xf numFmtId="43" fontId="12" fillId="0" borderId="22" xfId="0" applyNumberFormat="1" applyFont="1" applyBorder="1"/>
    <xf numFmtId="43" fontId="8" fillId="0" borderId="22" xfId="0" applyNumberFormat="1" applyFont="1" applyBorder="1"/>
    <xf numFmtId="165" fontId="8" fillId="0" borderId="22" xfId="2" applyNumberFormat="1" applyFont="1" applyBorder="1"/>
    <xf numFmtId="165" fontId="9" fillId="0" borderId="26" xfId="2" applyNumberFormat="1" applyFont="1" applyBorder="1"/>
    <xf numFmtId="0" fontId="8" fillId="0" borderId="32" xfId="0" applyFont="1" applyBorder="1" applyAlignment="1">
      <alignment wrapText="1"/>
    </xf>
    <xf numFmtId="0" fontId="0" fillId="0" borderId="0" xfId="0" applyFill="1"/>
    <xf numFmtId="10" fontId="0" fillId="0" borderId="0" xfId="2" applyNumberFormat="1" applyFont="1" applyBorder="1"/>
    <xf numFmtId="10" fontId="0" fillId="0" borderId="0" xfId="0" applyNumberFormat="1" applyBorder="1"/>
    <xf numFmtId="165" fontId="0" fillId="0" borderId="0" xfId="2" applyNumberFormat="1" applyFont="1"/>
    <xf numFmtId="9" fontId="0" fillId="0" borderId="0" xfId="0" applyNumberFormat="1"/>
    <xf numFmtId="9" fontId="2" fillId="6" borderId="1" xfId="0" applyNumberFormat="1" applyFont="1" applyFill="1" applyBorder="1"/>
    <xf numFmtId="0" fontId="2" fillId="6" borderId="1" xfId="0" applyFont="1" applyFill="1" applyBorder="1"/>
    <xf numFmtId="164" fontId="0" fillId="3" borderId="1" xfId="1" applyNumberFormat="1" applyFont="1" applyFill="1" applyBorder="1"/>
    <xf numFmtId="10" fontId="0" fillId="3" borderId="1" xfId="2" applyNumberFormat="1" applyFont="1" applyFill="1" applyBorder="1"/>
    <xf numFmtId="0" fontId="0" fillId="7" borderId="1" xfId="0" applyFill="1" applyBorder="1"/>
    <xf numFmtId="0" fontId="0" fillId="6" borderId="13" xfId="0" applyFill="1" applyBorder="1" applyAlignment="1">
      <alignment horizontal="right"/>
    </xf>
    <xf numFmtId="0" fontId="0" fillId="6" borderId="12" xfId="0" applyFill="1" applyBorder="1"/>
    <xf numFmtId="0" fontId="0" fillId="0" borderId="19" xfId="0" applyBorder="1" applyAlignment="1">
      <alignment horizontal="center"/>
    </xf>
    <xf numFmtId="164" fontId="0" fillId="0" borderId="19" xfId="1" applyNumberFormat="1" applyFont="1" applyBorder="1"/>
    <xf numFmtId="164" fontId="3" fillId="0" borderId="1" xfId="1" applyNumberFormat="1" applyFont="1" applyBorder="1"/>
    <xf numFmtId="0" fontId="0" fillId="0" borderId="39" xfId="0" applyBorder="1"/>
    <xf numFmtId="166" fontId="0" fillId="0" borderId="0" xfId="1" applyNumberFormat="1" applyFont="1" applyFill="1" applyBorder="1" applyAlignment="1">
      <alignment horizontal="center" vertical="top" wrapText="1"/>
    </xf>
    <xf numFmtId="49" fontId="0" fillId="0" borderId="1" xfId="0" applyNumberFormat="1" applyBorder="1"/>
    <xf numFmtId="3" fontId="0" fillId="0" borderId="16" xfId="0" applyNumberFormat="1" applyBorder="1"/>
    <xf numFmtId="0" fontId="0" fillId="4" borderId="40" xfId="0" applyFill="1" applyBorder="1" applyAlignment="1">
      <alignment horizontal="center"/>
    </xf>
    <xf numFmtId="0" fontId="0" fillId="4" borderId="41" xfId="0" applyFill="1" applyBorder="1" applyAlignment="1">
      <alignment horizontal="center"/>
    </xf>
    <xf numFmtId="0" fontId="0" fillId="4" borderId="42" xfId="0" applyFill="1" applyBorder="1" applyAlignment="1">
      <alignment horizontal="center"/>
    </xf>
    <xf numFmtId="9" fontId="0" fillId="4" borderId="40" xfId="2" applyFont="1" applyFill="1" applyBorder="1" applyAlignment="1">
      <alignment horizontal="center"/>
    </xf>
    <xf numFmtId="0" fontId="0" fillId="6" borderId="1" xfId="0" applyFill="1" applyBorder="1"/>
    <xf numFmtId="164" fontId="0" fillId="6" borderId="1" xfId="0" applyNumberFormat="1" applyFill="1" applyBorder="1"/>
    <xf numFmtId="164" fontId="0" fillId="0" borderId="3" xfId="1" applyNumberFormat="1" applyFont="1" applyBorder="1"/>
    <xf numFmtId="10" fontId="0" fillId="0" borderId="3" xfId="2" applyNumberFormat="1" applyFont="1" applyBorder="1"/>
    <xf numFmtId="10" fontId="0" fillId="0" borderId="3" xfId="0" applyNumberFormat="1" applyBorder="1"/>
    <xf numFmtId="0" fontId="0" fillId="0" borderId="1" xfId="0" applyFill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64" fontId="0" fillId="0" borderId="1" xfId="1" applyNumberFormat="1" applyFont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13" fillId="0" borderId="1" xfId="0" applyFont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0" fillId="6" borderId="1" xfId="1" applyNumberFormat="1" applyFont="1" applyFill="1" applyBorder="1" applyAlignment="1">
      <alignment wrapText="1"/>
    </xf>
    <xf numFmtId="9" fontId="0" fillId="6" borderId="1" xfId="2" applyFont="1" applyFill="1" applyBorder="1" applyAlignment="1">
      <alignment wrapText="1"/>
    </xf>
    <xf numFmtId="164" fontId="0" fillId="6" borderId="1" xfId="2" applyNumberFormat="1" applyFont="1" applyFill="1" applyBorder="1" applyAlignment="1">
      <alignment wrapText="1"/>
    </xf>
    <xf numFmtId="0" fontId="13" fillId="6" borderId="1" xfId="0" applyFont="1" applyFill="1" applyBorder="1" applyAlignment="1">
      <alignment wrapText="1"/>
    </xf>
    <xf numFmtId="164" fontId="0" fillId="6" borderId="1" xfId="0" applyNumberFormat="1" applyFill="1" applyBorder="1" applyAlignment="1">
      <alignment wrapText="1"/>
    </xf>
    <xf numFmtId="0" fontId="0" fillId="0" borderId="0" xfId="0" applyAlignment="1"/>
    <xf numFmtId="0" fontId="3" fillId="2" borderId="1" xfId="0" applyFont="1" applyFill="1" applyBorder="1" applyAlignment="1">
      <alignment horizontal="center" wrapText="1"/>
    </xf>
    <xf numFmtId="0" fontId="0" fillId="9" borderId="1" xfId="0" applyFill="1" applyBorder="1" applyAlignment="1">
      <alignment wrapText="1"/>
    </xf>
    <xf numFmtId="0" fontId="0" fillId="10" borderId="1" xfId="0" applyFill="1" applyBorder="1" applyAlignment="1">
      <alignment wrapText="1"/>
    </xf>
    <xf numFmtId="164" fontId="0" fillId="10" borderId="1" xfId="1" applyNumberFormat="1" applyFont="1" applyFill="1" applyBorder="1" applyAlignment="1">
      <alignment wrapText="1"/>
    </xf>
    <xf numFmtId="9" fontId="0" fillId="10" borderId="1" xfId="2" applyFont="1" applyFill="1" applyBorder="1" applyAlignment="1">
      <alignment wrapText="1"/>
    </xf>
    <xf numFmtId="164" fontId="0" fillId="4" borderId="1" xfId="1" applyNumberFormat="1" applyFont="1" applyFill="1" applyBorder="1" applyAlignment="1">
      <alignment wrapText="1"/>
    </xf>
    <xf numFmtId="0" fontId="14" fillId="0" borderId="0" xfId="0" applyFont="1"/>
    <xf numFmtId="0" fontId="15" fillId="11" borderId="1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/>
    </xf>
    <xf numFmtId="0" fontId="15" fillId="11" borderId="3" xfId="0" applyFont="1" applyFill="1" applyBorder="1" applyAlignment="1">
      <alignment horizontal="center"/>
    </xf>
    <xf numFmtId="0" fontId="16" fillId="11" borderId="1" xfId="0" applyFont="1" applyFill="1" applyBorder="1"/>
    <xf numFmtId="0" fontId="16" fillId="11" borderId="1" xfId="0" applyFont="1" applyFill="1" applyBorder="1" applyAlignment="1">
      <alignment horizontal="center" vertical="center"/>
    </xf>
    <xf numFmtId="0" fontId="16" fillId="0" borderId="1" xfId="0" applyFont="1" applyBorder="1"/>
    <xf numFmtId="3" fontId="16" fillId="0" borderId="1" xfId="0" applyNumberFormat="1" applyFont="1" applyBorder="1"/>
    <xf numFmtId="0" fontId="0" fillId="12" borderId="1" xfId="0" applyFill="1" applyBorder="1" applyAlignment="1">
      <alignment wrapText="1"/>
    </xf>
    <xf numFmtId="164" fontId="0" fillId="12" borderId="1" xfId="1" applyNumberFormat="1" applyFont="1" applyFill="1" applyBorder="1" applyAlignment="1">
      <alignment wrapText="1"/>
    </xf>
    <xf numFmtId="10" fontId="0" fillId="12" borderId="1" xfId="2" applyNumberFormat="1" applyFont="1" applyFill="1" applyBorder="1" applyAlignment="1">
      <alignment wrapText="1"/>
    </xf>
    <xf numFmtId="164" fontId="0" fillId="12" borderId="1" xfId="0" applyNumberFormat="1" applyFill="1" applyBorder="1" applyAlignment="1">
      <alignment wrapText="1"/>
    </xf>
    <xf numFmtId="9" fontId="0" fillId="9" borderId="1" xfId="0" applyNumberFormat="1" applyFill="1" applyBorder="1" applyAlignment="1">
      <alignment wrapText="1"/>
    </xf>
    <xf numFmtId="10" fontId="0" fillId="9" borderId="1" xfId="0" applyNumberFormat="1" applyFill="1" applyBorder="1" applyAlignment="1">
      <alignment wrapText="1"/>
    </xf>
    <xf numFmtId="0" fontId="13" fillId="4" borderId="1" xfId="0" applyFont="1" applyFill="1" applyBorder="1" applyAlignment="1">
      <alignment wrapText="1"/>
    </xf>
    <xf numFmtId="43" fontId="0" fillId="0" borderId="1" xfId="1" applyNumberFormat="1" applyFont="1" applyBorder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2" applyNumberFormat="1" applyFont="1" applyAlignment="1">
      <alignment wrapText="1"/>
    </xf>
    <xf numFmtId="10" fontId="0" fillId="0" borderId="0" xfId="2" applyNumberFormat="1" applyFont="1" applyAlignment="1">
      <alignment wrapText="1"/>
    </xf>
    <xf numFmtId="165" fontId="0" fillId="9" borderId="1" xfId="0" applyNumberFormat="1" applyFill="1" applyBorder="1" applyAlignment="1">
      <alignment wrapText="1"/>
    </xf>
    <xf numFmtId="0" fontId="18" fillId="13" borderId="0" xfId="3" applyFont="1" applyFill="1" applyAlignment="1">
      <alignment horizontal="center" vertical="center" wrapText="1"/>
    </xf>
    <xf numFmtId="0" fontId="17" fillId="0" borderId="0" xfId="3" applyProtection="1">
      <protection locked="0"/>
    </xf>
    <xf numFmtId="3" fontId="18" fillId="0" borderId="45" xfId="3" applyNumberFormat="1" applyFont="1" applyBorder="1" applyAlignment="1">
      <alignment horizontal="left" vertical="center" wrapText="1"/>
    </xf>
    <xf numFmtId="3" fontId="18" fillId="0" borderId="46" xfId="3" applyNumberFormat="1" applyFont="1" applyBorder="1" applyAlignment="1">
      <alignment horizontal="left" vertical="center" wrapText="1"/>
    </xf>
    <xf numFmtId="167" fontId="18" fillId="0" borderId="47" xfId="3" applyNumberFormat="1" applyFont="1" applyBorder="1" applyAlignment="1" applyProtection="1">
      <alignment horizontal="right" vertical="center" wrapText="1"/>
      <protection locked="0"/>
    </xf>
    <xf numFmtId="3" fontId="18" fillId="14" borderId="0" xfId="3" applyNumberFormat="1" applyFont="1" applyFill="1" applyAlignment="1">
      <alignment horizontal="left" vertical="center" wrapText="1"/>
    </xf>
    <xf numFmtId="3" fontId="18" fillId="14" borderId="48" xfId="3" applyNumberFormat="1" applyFont="1" applyFill="1" applyBorder="1" applyAlignment="1">
      <alignment horizontal="left" vertical="center" wrapText="1"/>
    </xf>
    <xf numFmtId="167" fontId="18" fillId="14" borderId="47" xfId="3" applyNumberFormat="1" applyFont="1" applyFill="1" applyBorder="1" applyAlignment="1" applyProtection="1">
      <alignment horizontal="right" vertical="center" wrapText="1"/>
      <protection locked="0"/>
    </xf>
    <xf numFmtId="3" fontId="18" fillId="0" borderId="0" xfId="3" applyNumberFormat="1" applyFont="1" applyAlignment="1">
      <alignment horizontal="left" vertical="center" wrapText="1"/>
    </xf>
    <xf numFmtId="3" fontId="18" fillId="0" borderId="48" xfId="3" applyNumberFormat="1" applyFont="1" applyBorder="1" applyAlignment="1">
      <alignment horizontal="left" vertical="center" wrapText="1"/>
    </xf>
    <xf numFmtId="3" fontId="18" fillId="14" borderId="47" xfId="3" applyNumberFormat="1" applyFont="1" applyFill="1" applyBorder="1" applyAlignment="1" applyProtection="1">
      <alignment horizontal="right" vertical="center" wrapText="1"/>
      <protection locked="0"/>
    </xf>
    <xf numFmtId="0" fontId="19" fillId="0" borderId="0" xfId="3" applyFont="1" applyProtection="1">
      <protection locked="0"/>
    </xf>
    <xf numFmtId="165" fontId="17" fillId="0" borderId="0" xfId="3" applyNumberFormat="1" applyProtection="1">
      <protection locked="0"/>
    </xf>
    <xf numFmtId="10" fontId="17" fillId="0" borderId="0" xfId="3" applyNumberFormat="1" applyProtection="1">
      <protection locked="0"/>
    </xf>
    <xf numFmtId="164" fontId="0" fillId="4" borderId="1" xfId="1" applyNumberFormat="1" applyFont="1" applyFill="1" applyBorder="1"/>
    <xf numFmtId="165" fontId="0" fillId="0" borderId="1" xfId="2" applyNumberFormat="1" applyFont="1" applyBorder="1"/>
    <xf numFmtId="3" fontId="0" fillId="0" borderId="1" xfId="0" applyNumberFormat="1" applyBorder="1" applyAlignment="1">
      <alignment horizontal="center"/>
    </xf>
    <xf numFmtId="0" fontId="0" fillId="4" borderId="0" xfId="0" applyFill="1"/>
    <xf numFmtId="164" fontId="0" fillId="4" borderId="0" xfId="0" applyNumberFormat="1" applyFill="1"/>
    <xf numFmtId="10" fontId="0" fillId="0" borderId="0" xfId="2" applyNumberFormat="1" applyFont="1"/>
    <xf numFmtId="9" fontId="0" fillId="0" borderId="0" xfId="2" applyFont="1" applyFill="1" applyBorder="1" applyAlignment="1">
      <alignment horizontal="center" vertical="top" wrapText="1"/>
    </xf>
    <xf numFmtId="165" fontId="21" fillId="0" borderId="13" xfId="2" applyNumberFormat="1" applyFont="1" applyBorder="1" applyAlignment="1">
      <alignment horizontal="right"/>
    </xf>
    <xf numFmtId="9" fontId="21" fillId="0" borderId="13" xfId="2" applyFont="1" applyBorder="1" applyAlignment="1">
      <alignment horizontal="right"/>
    </xf>
    <xf numFmtId="9" fontId="21" fillId="0" borderId="13" xfId="0" applyNumberFormat="1" applyFont="1" applyBorder="1" applyAlignment="1">
      <alignment horizontal="right"/>
    </xf>
    <xf numFmtId="0" fontId="20" fillId="6" borderId="13" xfId="0" applyFont="1" applyFill="1" applyBorder="1" applyAlignment="1">
      <alignment horizontal="right"/>
    </xf>
    <xf numFmtId="9" fontId="20" fillId="6" borderId="13" xfId="0" applyNumberFormat="1" applyFont="1" applyFill="1" applyBorder="1" applyAlignment="1">
      <alignment horizontal="right"/>
    </xf>
    <xf numFmtId="0" fontId="0" fillId="15" borderId="12" xfId="0" applyFill="1" applyBorder="1"/>
    <xf numFmtId="9" fontId="6" fillId="3" borderId="13" xfId="0" applyNumberFormat="1" applyFont="1" applyFill="1" applyBorder="1" applyAlignment="1">
      <alignment horizontal="right"/>
    </xf>
    <xf numFmtId="10" fontId="6" fillId="3" borderId="15" xfId="0" applyNumberFormat="1" applyFont="1" applyFill="1" applyBorder="1" applyAlignment="1">
      <alignment horizontal="right"/>
    </xf>
    <xf numFmtId="9" fontId="2" fillId="0" borderId="13" xfId="0" applyNumberFormat="1" applyFont="1" applyFill="1" applyBorder="1" applyAlignment="1">
      <alignment horizontal="right"/>
    </xf>
    <xf numFmtId="9" fontId="9" fillId="16" borderId="1" xfId="2" applyFont="1" applyFill="1" applyBorder="1"/>
    <xf numFmtId="164" fontId="9" fillId="16" borderId="1" xfId="1" applyNumberFormat="1" applyFont="1" applyFill="1" applyBorder="1"/>
    <xf numFmtId="165" fontId="0" fillId="4" borderId="40" xfId="2" applyNumberFormat="1" applyFont="1" applyFill="1" applyBorder="1" applyAlignment="1">
      <alignment horizontal="center"/>
    </xf>
    <xf numFmtId="0" fontId="16" fillId="0" borderId="29" xfId="0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166" fontId="0" fillId="8" borderId="22" xfId="1" applyNumberFormat="1" applyFont="1" applyFill="1" applyBorder="1" applyAlignment="1">
      <alignment horizontal="center" vertical="top" wrapText="1"/>
    </xf>
    <xf numFmtId="166" fontId="0" fillId="8" borderId="15" xfId="1" applyNumberFormat="1" applyFont="1" applyFill="1" applyBorder="1" applyAlignment="1">
      <alignment horizontal="center" vertical="top" wrapText="1"/>
    </xf>
    <xf numFmtId="0" fontId="18" fillId="13" borderId="0" xfId="3" applyFont="1" applyFill="1" applyBorder="1" applyAlignment="1" applyProtection="1">
      <alignment horizontal="center" vertical="center" wrapText="1"/>
      <protection locked="0"/>
    </xf>
    <xf numFmtId="0" fontId="18" fillId="13" borderId="44" xfId="3" applyFont="1" applyFill="1" applyBorder="1" applyAlignment="1" applyProtection="1">
      <alignment horizontal="center" vertical="center" wrapText="1"/>
      <protection locked="0"/>
    </xf>
    <xf numFmtId="0" fontId="18" fillId="13" borderId="0" xfId="3" applyFont="1" applyFill="1" applyBorder="1" applyAlignment="1">
      <alignment horizontal="center" vertical="center" wrapText="1"/>
    </xf>
    <xf numFmtId="0" fontId="18" fillId="13" borderId="44" xfId="3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9" fillId="0" borderId="21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7" xfId="0" applyBorder="1" applyAlignment="1">
      <alignment horizontal="center"/>
    </xf>
    <xf numFmtId="0" fontId="3" fillId="6" borderId="20" xfId="0" applyFont="1" applyFill="1" applyBorder="1" applyAlignment="1">
      <alignment horizontal="center" wrapText="1"/>
    </xf>
    <xf numFmtId="0" fontId="3" fillId="6" borderId="23" xfId="0" applyFont="1" applyFill="1" applyBorder="1" applyAlignment="1">
      <alignment horizontal="center" wrapText="1"/>
    </xf>
    <xf numFmtId="0" fontId="9" fillId="0" borderId="10" xfId="0" applyFont="1" applyBorder="1" applyAlignment="1">
      <alignment horizontal="center"/>
    </xf>
    <xf numFmtId="0" fontId="9" fillId="16" borderId="21" xfId="0" applyFont="1" applyFill="1" applyBorder="1" applyAlignment="1">
      <alignment horizontal="center"/>
    </xf>
    <xf numFmtId="43" fontId="0" fillId="0" borderId="0" xfId="0" applyNumberFormat="1"/>
    <xf numFmtId="9" fontId="10" fillId="9" borderId="12" xfId="2" applyFont="1" applyFill="1" applyBorder="1"/>
    <xf numFmtId="164" fontId="10" fillId="9" borderId="1" xfId="1" applyNumberFormat="1" applyFont="1" applyFill="1" applyBorder="1"/>
    <xf numFmtId="9" fontId="10" fillId="9" borderId="28" xfId="2" applyFont="1" applyFill="1" applyBorder="1"/>
    <xf numFmtId="164" fontId="10" fillId="9" borderId="29" xfId="1" applyNumberFormat="1" applyFont="1" applyFill="1" applyBorder="1"/>
    <xf numFmtId="0" fontId="9" fillId="9" borderId="10" xfId="0" applyFont="1" applyFill="1" applyBorder="1" applyAlignment="1">
      <alignment horizontal="center"/>
    </xf>
    <xf numFmtId="0" fontId="9" fillId="9" borderId="21" xfId="0" applyFont="1" applyFill="1" applyBorder="1" applyAlignment="1">
      <alignment horizontal="center"/>
    </xf>
    <xf numFmtId="164" fontId="9" fillId="9" borderId="1" xfId="1" applyNumberFormat="1" applyFont="1" applyFill="1" applyBorder="1"/>
    <xf numFmtId="9" fontId="2" fillId="9" borderId="1" xfId="0" applyNumberFormat="1" applyFont="1" applyFill="1" applyBorder="1"/>
    <xf numFmtId="9" fontId="2" fillId="9" borderId="13" xfId="0" applyNumberFormat="1" applyFont="1" applyFill="1" applyBorder="1" applyAlignment="1">
      <alignment horizontal="right"/>
    </xf>
    <xf numFmtId="10" fontId="21" fillId="9" borderId="11" xfId="2" applyNumberFormat="1" applyFont="1" applyFill="1" applyBorder="1" applyAlignment="1">
      <alignment horizontal="right"/>
    </xf>
    <xf numFmtId="3" fontId="0" fillId="0" borderId="0" xfId="0" applyNumberFormat="1"/>
    <xf numFmtId="164" fontId="0" fillId="4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0" fontId="0" fillId="4" borderId="0" xfId="0" applyNumberFormat="1" applyFill="1"/>
    <xf numFmtId="0" fontId="0" fillId="0" borderId="0" xfId="0" applyFill="1" applyBorder="1" applyAlignment="1"/>
    <xf numFmtId="10" fontId="8" fillId="2" borderId="15" xfId="2" applyNumberFormat="1" applyFont="1" applyFill="1" applyBorder="1"/>
    <xf numFmtId="10" fontId="0" fillId="0" borderId="0" xfId="0" applyNumberFormat="1" applyAlignment="1">
      <alignment wrapText="1"/>
    </xf>
    <xf numFmtId="165" fontId="6" fillId="0" borderId="1" xfId="0" applyNumberFormat="1" applyFont="1" applyBorder="1"/>
    <xf numFmtId="0" fontId="0" fillId="4" borderId="1" xfId="0" applyFill="1" applyBorder="1"/>
  </cellXfs>
  <cellStyles count="4">
    <cellStyle name="Milliers" xfId="1" builtinId="3"/>
    <cellStyle name="Normal" xfId="0" builtinId="0"/>
    <cellStyle name="Normal 2" xfId="3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/>
              <a:t>Répartition</a:t>
            </a:r>
            <a:r>
              <a:rPr lang="fr-FR" baseline="0"/>
              <a:t> dépenses secteur santé 2016</a:t>
            </a:r>
            <a:endParaRPr lang="fr-FR"/>
          </a:p>
        </c:rich>
      </c:tx>
      <c:layout>
        <c:manualLayout>
          <c:xMode val="edge"/>
          <c:yMode val="edge"/>
          <c:x val="0.15170022371364653"/>
          <c:y val="0.8857368006304176"/>
        </c:manualLayout>
      </c:layout>
      <c:overlay val="0"/>
    </c:title>
    <c:autoTitleDeleted val="0"/>
    <c:plotArea>
      <c:layout/>
      <c:pieChart>
        <c:varyColors val="1"/>
        <c:ser>
          <c:idx val="1"/>
          <c:order val="1"/>
          <c:dLbls>
            <c:dLbl>
              <c:idx val="7"/>
              <c:layout>
                <c:manualLayout>
                  <c:x val="-0.29726761084394654"/>
                  <c:y val="-4.673206629313179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'fonction santé'!$D$19:$D$28</c:f>
              <c:strCache>
                <c:ptCount val="10"/>
                <c:pt idx="0">
                  <c:v>Part patronale AMO</c:v>
                </c:pt>
                <c:pt idx="1">
                  <c:v>CANAM</c:v>
                </c:pt>
                <c:pt idx="2">
                  <c:v>ANAM</c:v>
                </c:pt>
                <c:pt idx="3">
                  <c:v>Gratuités</c:v>
                </c:pt>
                <c:pt idx="4">
                  <c:v>MSAH santé</c:v>
                </c:pt>
                <c:pt idx="5">
                  <c:v>MPFFE</c:v>
                </c:pt>
                <c:pt idx="6">
                  <c:v>Ministère de la Santé hors gratuité</c:v>
                </c:pt>
                <c:pt idx="7">
                  <c:v>Autres charges communes</c:v>
                </c:pt>
                <c:pt idx="8">
                  <c:v>Affaires étrangères</c:v>
                </c:pt>
                <c:pt idx="9">
                  <c:v>Défense</c:v>
                </c:pt>
              </c:strCache>
            </c:strRef>
          </c:cat>
          <c:val>
            <c:numRef>
              <c:f>'fonction santé'!$F$19:$F$28</c:f>
              <c:numCache>
                <c:formatCode>_-* #,##0\ _€_-;\-* #,##0\ _€_-;_-* "-"??\ _€_-;_-@_-</c:formatCode>
                <c:ptCount val="10"/>
                <c:pt idx="0">
                  <c:v>2556.7420000000002</c:v>
                </c:pt>
                <c:pt idx="1">
                  <c:v>24.706150999999998</c:v>
                </c:pt>
                <c:pt idx="2">
                  <c:v>1032.3636710000001</c:v>
                </c:pt>
                <c:pt idx="3">
                  <c:v>6896.6596650000001</c:v>
                </c:pt>
                <c:pt idx="4">
                  <c:v>7827.8708280000001</c:v>
                </c:pt>
                <c:pt idx="5">
                  <c:v>2092.2944229999998</c:v>
                </c:pt>
                <c:pt idx="6">
                  <c:v>72617.122113999998</c:v>
                </c:pt>
                <c:pt idx="7">
                  <c:v>3011.0140000000001</c:v>
                </c:pt>
                <c:pt idx="8">
                  <c:v>789.13524800000005</c:v>
                </c:pt>
                <c:pt idx="9">
                  <c:v>831.07108600000004</c:v>
                </c:pt>
              </c:numCache>
            </c:numRef>
          </c:val>
        </c:ser>
        <c:ser>
          <c:idx val="0"/>
          <c:order val="0"/>
          <c:dLbls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'fonction santé'!$D$19:$D$28</c:f>
              <c:strCache>
                <c:ptCount val="10"/>
                <c:pt idx="0">
                  <c:v>Part patronale AMO</c:v>
                </c:pt>
                <c:pt idx="1">
                  <c:v>CANAM</c:v>
                </c:pt>
                <c:pt idx="2">
                  <c:v>ANAM</c:v>
                </c:pt>
                <c:pt idx="3">
                  <c:v>Gratuités</c:v>
                </c:pt>
                <c:pt idx="4">
                  <c:v>MSAH santé</c:v>
                </c:pt>
                <c:pt idx="5">
                  <c:v>MPFFE</c:v>
                </c:pt>
                <c:pt idx="6">
                  <c:v>Ministère de la Santé hors gratuité</c:v>
                </c:pt>
                <c:pt idx="7">
                  <c:v>Autres charges communes</c:v>
                </c:pt>
                <c:pt idx="8">
                  <c:v>Affaires étrangères</c:v>
                </c:pt>
                <c:pt idx="9">
                  <c:v>Défense</c:v>
                </c:pt>
              </c:strCache>
            </c:strRef>
          </c:cat>
          <c:val>
            <c:numRef>
              <c:f>'fonction santé'!$E$19:$E$28</c:f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/>
              <a:t>Répartition de</a:t>
            </a:r>
            <a:r>
              <a:rPr lang="fr-FR" baseline="0"/>
              <a:t> la participation </a:t>
            </a:r>
            <a:r>
              <a:rPr lang="fr-FR"/>
              <a:t>de l'Etat à la CRM (2016)</a:t>
            </a:r>
          </a:p>
        </c:rich>
      </c:tx>
      <c:layout>
        <c:manualLayout>
          <c:xMode val="edge"/>
          <c:yMode val="edge"/>
          <c:x val="0.1079822971919305"/>
          <c:y val="2.7777777777777776E-2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Lbls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'CRM 2016'!$B$2:$F$2</c:f>
              <c:strCache>
                <c:ptCount val="5"/>
                <c:pt idx="0">
                  <c:v>ANAM</c:v>
                </c:pt>
                <c:pt idx="1">
                  <c:v>CANAM</c:v>
                </c:pt>
                <c:pt idx="2">
                  <c:v>Etat employeur</c:v>
                </c:pt>
                <c:pt idx="3">
                  <c:v>Mutuelles</c:v>
                </c:pt>
                <c:pt idx="4">
                  <c:v>Gratuités</c:v>
                </c:pt>
              </c:strCache>
            </c:strRef>
          </c:cat>
          <c:val>
            <c:numRef>
              <c:f>'CRM 2016'!$B$3:$F$3</c:f>
              <c:numCache>
                <c:formatCode>_-* #,##0\ _€_-;\-* #,##0\ _€_-;_-* "-"??\ _€_-;_-@_-</c:formatCode>
                <c:ptCount val="5"/>
                <c:pt idx="0">
                  <c:v>1032388000</c:v>
                </c:pt>
                <c:pt idx="1">
                  <c:v>39281000</c:v>
                </c:pt>
                <c:pt idx="2">
                  <c:v>2556742000</c:v>
                </c:pt>
                <c:pt idx="3">
                  <c:v>459773803</c:v>
                </c:pt>
                <c:pt idx="4" formatCode="#,##0">
                  <c:v>6896659665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/>
              <a:t>Population</a:t>
            </a:r>
            <a:r>
              <a:rPr lang="fr-FR" baseline="0"/>
              <a:t> assurée et non assurée (2016)</a:t>
            </a:r>
            <a:endParaRPr lang="fr-FR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'assurés 2016'!$A$4:$A$7</c:f>
              <c:strCache>
                <c:ptCount val="4"/>
                <c:pt idx="0">
                  <c:v>Population RAMED</c:v>
                </c:pt>
                <c:pt idx="1">
                  <c:v>Population mutualiste</c:v>
                </c:pt>
                <c:pt idx="2">
                  <c:v>Population AMO</c:v>
                </c:pt>
                <c:pt idx="3">
                  <c:v>Total non assurés</c:v>
                </c:pt>
              </c:strCache>
            </c:strRef>
          </c:cat>
          <c:val>
            <c:numRef>
              <c:f>'assurés 2016'!$B$4:$B$7</c:f>
              <c:numCache>
                <c:formatCode>_-* #,##0\ _€_-;\-* #,##0\ _€_-;_-* "-"??\ _€_-;_-@_-</c:formatCode>
                <c:ptCount val="4"/>
                <c:pt idx="0">
                  <c:v>134875</c:v>
                </c:pt>
                <c:pt idx="1">
                  <c:v>907978.5</c:v>
                </c:pt>
                <c:pt idx="2">
                  <c:v>1143437</c:v>
                </c:pt>
                <c:pt idx="3">
                  <c:v>16156709.5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314816"/>
        <c:axId val="78701120"/>
      </c:barChart>
      <c:catAx>
        <c:axId val="81314816"/>
        <c:scaling>
          <c:orientation val="minMax"/>
        </c:scaling>
        <c:delete val="0"/>
        <c:axPos val="b"/>
        <c:majorTickMark val="out"/>
        <c:minorTickMark val="none"/>
        <c:tickLblPos val="nextTo"/>
        <c:crossAx val="78701120"/>
        <c:crosses val="autoZero"/>
        <c:auto val="1"/>
        <c:lblAlgn val="ctr"/>
        <c:lblOffset val="100"/>
        <c:noMultiLvlLbl val="0"/>
      </c:catAx>
      <c:valAx>
        <c:axId val="78701120"/>
        <c:scaling>
          <c:orientation val="minMax"/>
        </c:scaling>
        <c:delete val="0"/>
        <c:axPos val="l"/>
        <c:majorGridlines/>
        <c:numFmt formatCode="_-* #,##0\ _€_-;\-* #,##0\ _€_-;_-* &quot;-&quot;??\ _€_-;_-@_-" sourceLinked="1"/>
        <c:majorTickMark val="out"/>
        <c:minorTickMark val="none"/>
        <c:tickLblPos val="nextTo"/>
        <c:crossAx val="813148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'historique part santé'!$A$5</c:f>
              <c:strCache>
                <c:ptCount val="1"/>
                <c:pt idx="0">
                  <c:v>Secteur santé / total budget (allocation)</c:v>
                </c:pt>
              </c:strCache>
            </c:strRef>
          </c:tx>
          <c:marker>
            <c:symbol val="none"/>
          </c:marker>
          <c:cat>
            <c:strRef>
              <c:f>'historique part santé'!$B$4:$F$4</c:f>
              <c:strCach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strCache>
            </c:strRef>
          </c:cat>
          <c:val>
            <c:numRef>
              <c:f>'historique part santé'!$B$5:$F$5</c:f>
              <c:numCache>
                <c:formatCode>General</c:formatCode>
                <c:ptCount val="5"/>
                <c:pt idx="0">
                  <c:v>5.78</c:v>
                </c:pt>
                <c:pt idx="1">
                  <c:v>4.46</c:v>
                </c:pt>
                <c:pt idx="2">
                  <c:v>5.72</c:v>
                </c:pt>
                <c:pt idx="3">
                  <c:v>5.58</c:v>
                </c:pt>
                <c:pt idx="4">
                  <c:v>5.23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871040"/>
        <c:axId val="78702848"/>
      </c:lineChart>
      <c:catAx>
        <c:axId val="78871040"/>
        <c:scaling>
          <c:orientation val="minMax"/>
        </c:scaling>
        <c:delete val="0"/>
        <c:axPos val="b"/>
        <c:majorTickMark val="out"/>
        <c:minorTickMark val="none"/>
        <c:tickLblPos val="nextTo"/>
        <c:crossAx val="78702848"/>
        <c:crosses val="autoZero"/>
        <c:auto val="1"/>
        <c:lblAlgn val="ctr"/>
        <c:lblOffset val="100"/>
        <c:noMultiLvlLbl val="0"/>
      </c:catAx>
      <c:valAx>
        <c:axId val="787028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887104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/>
              <a:t>Répartition du financement de la santé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'structure financement santé'!$A$14</c:f>
              <c:strCache>
                <c:ptCount val="1"/>
                <c:pt idx="0">
                  <c:v>Etat hors AM</c:v>
                </c:pt>
              </c:strCache>
            </c:strRef>
          </c:tx>
          <c:invertIfNegative val="0"/>
          <c:cat>
            <c:strRef>
              <c:f>'structure financement santé'!$B$13:$D$13</c:f>
              <c:strCache>
                <c:ptCount val="2"/>
                <c:pt idx="0">
                  <c:v>2014</c:v>
                </c:pt>
                <c:pt idx="1">
                  <c:v> perspectives 2023</c:v>
                </c:pt>
              </c:strCache>
            </c:strRef>
          </c:cat>
          <c:val>
            <c:numRef>
              <c:f>'structure financement santé'!$B$14:$D$14</c:f>
              <c:numCache>
                <c:formatCode>0%</c:formatCode>
                <c:ptCount val="2"/>
                <c:pt idx="0">
                  <c:v>0.47</c:v>
                </c:pt>
                <c:pt idx="1">
                  <c:v>0.51945390370206357</c:v>
                </c:pt>
              </c:numCache>
            </c:numRef>
          </c:val>
        </c:ser>
        <c:ser>
          <c:idx val="1"/>
          <c:order val="1"/>
          <c:tx>
            <c:strRef>
              <c:f>'structure financement santé'!$A$15</c:f>
              <c:strCache>
                <c:ptCount val="1"/>
                <c:pt idx="0">
                  <c:v>Etat AM</c:v>
                </c:pt>
              </c:strCache>
            </c:strRef>
          </c:tx>
          <c:invertIfNegative val="0"/>
          <c:cat>
            <c:strRef>
              <c:f>'structure financement santé'!$B$13:$D$13</c:f>
              <c:strCache>
                <c:ptCount val="2"/>
                <c:pt idx="0">
                  <c:v>2014</c:v>
                </c:pt>
                <c:pt idx="1">
                  <c:v> perspectives 2023</c:v>
                </c:pt>
              </c:strCache>
            </c:strRef>
          </c:cat>
          <c:val>
            <c:numRef>
              <c:f>'structure financement santé'!$B$15:$D$15</c:f>
              <c:numCache>
                <c:formatCode>0%</c:formatCode>
                <c:ptCount val="2"/>
                <c:pt idx="0">
                  <c:v>0.05</c:v>
                </c:pt>
                <c:pt idx="1">
                  <c:v>7.6267329979153919E-2</c:v>
                </c:pt>
              </c:numCache>
            </c:numRef>
          </c:val>
        </c:ser>
        <c:ser>
          <c:idx val="2"/>
          <c:order val="2"/>
          <c:tx>
            <c:strRef>
              <c:f>'structure financement santé'!$A$16</c:f>
              <c:strCache>
                <c:ptCount val="1"/>
                <c:pt idx="0">
                  <c:v>Ménages OOP</c:v>
                </c:pt>
              </c:strCache>
            </c:strRef>
          </c:tx>
          <c:invertIfNegative val="0"/>
          <c:cat>
            <c:strRef>
              <c:f>'structure financement santé'!$B$13:$D$13</c:f>
              <c:strCache>
                <c:ptCount val="2"/>
                <c:pt idx="0">
                  <c:v>2014</c:v>
                </c:pt>
                <c:pt idx="1">
                  <c:v> perspectives 2023</c:v>
                </c:pt>
              </c:strCache>
            </c:strRef>
          </c:cat>
          <c:val>
            <c:numRef>
              <c:f>'structure financement santé'!$B$16:$D$16</c:f>
              <c:numCache>
                <c:formatCode>0%</c:formatCode>
                <c:ptCount val="2"/>
                <c:pt idx="0" formatCode="0.00%">
                  <c:v>0.44950000000000001</c:v>
                </c:pt>
                <c:pt idx="1">
                  <c:v>0.35</c:v>
                </c:pt>
              </c:numCache>
            </c:numRef>
          </c:val>
        </c:ser>
        <c:ser>
          <c:idx val="3"/>
          <c:order val="3"/>
          <c:tx>
            <c:strRef>
              <c:f>'structure financement santé'!$A$17</c:f>
              <c:strCache>
                <c:ptCount val="1"/>
                <c:pt idx="0">
                  <c:v>Privé AM</c:v>
                </c:pt>
              </c:strCache>
            </c:strRef>
          </c:tx>
          <c:invertIfNegative val="0"/>
          <c:cat>
            <c:strRef>
              <c:f>'structure financement santé'!$B$13:$D$13</c:f>
              <c:strCache>
                <c:ptCount val="2"/>
                <c:pt idx="0">
                  <c:v>2014</c:v>
                </c:pt>
                <c:pt idx="1">
                  <c:v> perspectives 2023</c:v>
                </c:pt>
              </c:strCache>
            </c:strRef>
          </c:cat>
          <c:val>
            <c:numRef>
              <c:f>'structure financement santé'!$B$17:$D$17</c:f>
              <c:numCache>
                <c:formatCode>0%</c:formatCode>
                <c:ptCount val="2"/>
                <c:pt idx="0" formatCode="0.0%">
                  <c:v>6.04548770564633E-3</c:v>
                </c:pt>
                <c:pt idx="1">
                  <c:v>2.5324254024428946E-2</c:v>
                </c:pt>
              </c:numCache>
            </c:numRef>
          </c:val>
        </c:ser>
        <c:ser>
          <c:idx val="4"/>
          <c:order val="4"/>
          <c:tx>
            <c:strRef>
              <c:f>'structure financement santé'!$A$18</c:f>
              <c:strCache>
                <c:ptCount val="1"/>
                <c:pt idx="0">
                  <c:v>Autre privé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0"/>
                  <c:y val="-1.91846522781774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'structure financement santé'!$B$13:$D$13</c:f>
              <c:strCache>
                <c:ptCount val="2"/>
                <c:pt idx="0">
                  <c:v>2014</c:v>
                </c:pt>
                <c:pt idx="1">
                  <c:v> perspectives 2023</c:v>
                </c:pt>
              </c:strCache>
            </c:strRef>
          </c:cat>
          <c:val>
            <c:numRef>
              <c:f>'structure financement santé'!$B$18:$D$18</c:f>
              <c:numCache>
                <c:formatCode>0%</c:formatCode>
                <c:ptCount val="2"/>
                <c:pt idx="0" formatCode="0.00%">
                  <c:v>2.8954512294353675E-2</c:v>
                </c:pt>
                <c:pt idx="1">
                  <c:v>2.8954512294353675E-2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overlap val="100"/>
        <c:axId val="93854208"/>
        <c:axId val="78704576"/>
      </c:barChart>
      <c:catAx>
        <c:axId val="93854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8704576"/>
        <c:crosses val="autoZero"/>
        <c:auto val="1"/>
        <c:lblAlgn val="ctr"/>
        <c:lblOffset val="100"/>
        <c:noMultiLvlLbl val="0"/>
      </c:catAx>
      <c:valAx>
        <c:axId val="78704576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extTo"/>
        <c:crossAx val="93854208"/>
        <c:crosses val="autoZero"/>
        <c:crossBetween val="between"/>
      </c:valAx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'Projection AMU'!$A$3</c:f>
              <c:strCache>
                <c:ptCount val="1"/>
                <c:pt idx="0">
                  <c:v>Secteur formel</c:v>
                </c:pt>
              </c:strCache>
            </c:strRef>
          </c:tx>
          <c:invertIfNegative val="0"/>
          <c:cat>
            <c:numRef>
              <c:f>'Projection AMU'!$B$2:$Q$2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'Projection AMU'!$B$3:$Q$3</c:f>
              <c:numCache>
                <c:formatCode>0%</c:formatCode>
                <c:ptCount val="8"/>
                <c:pt idx="0">
                  <c:v>0.34350000000000003</c:v>
                </c:pt>
                <c:pt idx="1">
                  <c:v>0.36179414280052125</c:v>
                </c:pt>
                <c:pt idx="2">
                  <c:v>0.40897947731491574</c:v>
                </c:pt>
                <c:pt idx="3">
                  <c:v>0.45244865740297568</c:v>
                </c:pt>
                <c:pt idx="4">
                  <c:v>0.49240297254815985</c:v>
                </c:pt>
                <c:pt idx="5">
                  <c:v>0.52903421024285158</c:v>
                </c:pt>
                <c:pt idx="6">
                  <c:v>0.56252507330226575</c:v>
                </c:pt>
                <c:pt idx="7">
                  <c:v>0.59304957964945637</c:v>
                </c:pt>
              </c:numCache>
            </c:numRef>
          </c:val>
        </c:ser>
        <c:ser>
          <c:idx val="1"/>
          <c:order val="1"/>
          <c:tx>
            <c:strRef>
              <c:f>'Projection AMU'!$A$4</c:f>
              <c:strCache>
                <c:ptCount val="1"/>
                <c:pt idx="0">
                  <c:v>Secteur informel pauvre</c:v>
                </c:pt>
              </c:strCache>
            </c:strRef>
          </c:tx>
          <c:invertIfNegative val="0"/>
          <c:cat>
            <c:numRef>
              <c:f>'Projection AMU'!$B$2:$Q$2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'Projection AMU'!$B$4:$Q$4</c:f>
              <c:numCache>
                <c:formatCode>0%</c:formatCode>
                <c:ptCount val="8"/>
                <c:pt idx="0">
                  <c:v>0.14000000000000001</c:v>
                </c:pt>
                <c:pt idx="1">
                  <c:v>0.26890756302521007</c:v>
                </c:pt>
                <c:pt idx="2">
                  <c:v>0.3907563025210084</c:v>
                </c:pt>
                <c:pt idx="3">
                  <c:v>0.51260504201680668</c:v>
                </c:pt>
                <c:pt idx="4">
                  <c:v>0.63445378151260501</c:v>
                </c:pt>
                <c:pt idx="5">
                  <c:v>0.75630252100840334</c:v>
                </c:pt>
                <c:pt idx="6">
                  <c:v>0.87815126050420167</c:v>
                </c:pt>
                <c:pt idx="7">
                  <c:v>1</c:v>
                </c:pt>
              </c:numCache>
            </c:numRef>
          </c:val>
        </c:ser>
        <c:ser>
          <c:idx val="2"/>
          <c:order val="2"/>
          <c:tx>
            <c:strRef>
              <c:f>'Projection AMU'!$A$5</c:f>
              <c:strCache>
                <c:ptCount val="1"/>
                <c:pt idx="0">
                  <c:v>Secteur informel non pauvre</c:v>
                </c:pt>
              </c:strCache>
            </c:strRef>
          </c:tx>
          <c:invertIfNegative val="0"/>
          <c:cat>
            <c:numRef>
              <c:f>'Projection AMU'!$B$2:$Q$2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'Projection AMU'!$B$5:$Q$5</c:f>
              <c:numCache>
                <c:formatCode>0%</c:formatCode>
                <c:ptCount val="8"/>
                <c:pt idx="0">
                  <c:v>4.3200000000000002E-2</c:v>
                </c:pt>
                <c:pt idx="1">
                  <c:v>8.4395604395604396E-2</c:v>
                </c:pt>
                <c:pt idx="2">
                  <c:v>0.10532967032967033</c:v>
                </c:pt>
                <c:pt idx="3">
                  <c:v>0.12626373626373627</c:v>
                </c:pt>
                <c:pt idx="4">
                  <c:v>0.14719780219780221</c:v>
                </c:pt>
                <c:pt idx="5">
                  <c:v>0.16813186813186815</c:v>
                </c:pt>
                <c:pt idx="6">
                  <c:v>0.18906593406593408</c:v>
                </c:pt>
                <c:pt idx="7">
                  <c:v>0.21</c:v>
                </c:pt>
              </c:numCache>
            </c:numRef>
          </c:val>
        </c:ser>
        <c:ser>
          <c:idx val="3"/>
          <c:order val="3"/>
          <c:tx>
            <c:strRef>
              <c:f>'Projection AMU'!$A$6</c:f>
              <c:strCache>
                <c:ptCount val="1"/>
              </c:strCache>
            </c:strRef>
          </c:tx>
          <c:invertIfNegative val="0"/>
          <c:cat>
            <c:numRef>
              <c:f>'Projection AMU'!$B$2:$Q$2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'Projection AMU'!$B$6:$Q$6</c:f>
            </c:numRef>
          </c:val>
        </c:ser>
        <c:ser>
          <c:idx val="4"/>
          <c:order val="4"/>
          <c:tx>
            <c:strRef>
              <c:f>'Projection AMU'!$A$7</c:f>
              <c:strCache>
                <c:ptCount val="1"/>
                <c:pt idx="0">
                  <c:v>% de la population malienne couverte par l'AMU</c:v>
                </c:pt>
              </c:strCache>
            </c:strRef>
          </c:tx>
          <c:invertIfNegative val="0"/>
          <c:cat>
            <c:numRef>
              <c:f>'Projection AMU'!$B$2:$Q$2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'Projection AMU'!$B$7:$Q$7</c:f>
              <c:numCache>
                <c:formatCode>0%</c:formatCode>
                <c:ptCount val="8"/>
                <c:pt idx="0">
                  <c:v>0.11918936379000164</c:v>
                </c:pt>
                <c:pt idx="1">
                  <c:v>0.14077895385592054</c:v>
                </c:pt>
                <c:pt idx="2">
                  <c:v>0.17122146912672895</c:v>
                </c:pt>
                <c:pt idx="3">
                  <c:v>0.20103223814506049</c:v>
                </c:pt>
                <c:pt idx="4">
                  <c:v>0.23024548012310317</c:v>
                </c:pt>
                <c:pt idx="5">
                  <c:v>0.25889379893456205</c:v>
                </c:pt>
                <c:pt idx="6">
                  <c:v>0.28700825405802383</c:v>
                </c:pt>
                <c:pt idx="7">
                  <c:v>0.31461842854040761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041984"/>
        <c:axId val="78708032"/>
      </c:barChart>
      <c:lineChart>
        <c:grouping val="stacked"/>
        <c:varyColors val="0"/>
        <c:ser>
          <c:idx val="5"/>
          <c:order val="5"/>
          <c:tx>
            <c:strRef>
              <c:f>'Projection AMU'!$A$8</c:f>
              <c:strCache>
                <c:ptCount val="1"/>
                <c:pt idx="0">
                  <c:v>Subvention de l'Etat au secteur informel en milliards de FCFA</c:v>
                </c:pt>
              </c:strCache>
            </c:strRef>
          </c:tx>
          <c:marker>
            <c:symbol val="none"/>
          </c:marker>
          <c:cat>
            <c:numRef>
              <c:f>'Projection AMU'!$B$2:$Q$2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'Projection AMU'!$B$8:$Q$8</c:f>
              <c:numCache>
                <c:formatCode>_(* #,##0.00_);_(* \(#,##0.00\);_(* "-"??_);_(@_)</c:formatCode>
                <c:ptCount val="8"/>
                <c:pt idx="0">
                  <c:v>5.6843014800000002</c:v>
                </c:pt>
                <c:pt idx="1">
                  <c:v>9.2517646915161613</c:v>
                </c:pt>
                <c:pt idx="2">
                  <c:v>13.564878786972004</c:v>
                </c:pt>
                <c:pt idx="3">
                  <c:v>18.719126292115238</c:v>
                </c:pt>
                <c:pt idx="4">
                  <c:v>24.821443814263802</c:v>
                </c:pt>
                <c:pt idx="5">
                  <c:v>31.991551646782021</c:v>
                </c:pt>
                <c:pt idx="6">
                  <c:v>40.3634345341219</c:v>
                </c:pt>
                <c:pt idx="7">
                  <c:v>50.086990518252385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042496"/>
        <c:axId val="111828992"/>
      </c:lineChart>
      <c:catAx>
        <c:axId val="11204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8708032"/>
        <c:crosses val="autoZero"/>
        <c:auto val="1"/>
        <c:lblAlgn val="ctr"/>
        <c:lblOffset val="100"/>
        <c:noMultiLvlLbl val="0"/>
      </c:catAx>
      <c:valAx>
        <c:axId val="7870803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2041984"/>
        <c:crosses val="autoZero"/>
        <c:crossBetween val="between"/>
      </c:valAx>
      <c:valAx>
        <c:axId val="111828992"/>
        <c:scaling>
          <c:orientation val="minMax"/>
        </c:scaling>
        <c:delete val="0"/>
        <c:axPos val="r"/>
        <c:numFmt formatCode="_(* #,##0.00_);_(* \(#,##0.00\);_(* &quot;-&quot;??_);_(@_)" sourceLinked="1"/>
        <c:majorTickMark val="out"/>
        <c:minorTickMark val="none"/>
        <c:tickLblPos val="nextTo"/>
        <c:crossAx val="112042496"/>
        <c:crosses val="max"/>
        <c:crossBetween val="between"/>
      </c:valAx>
      <c:catAx>
        <c:axId val="112042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1828992"/>
        <c:crosses val="autoZero"/>
        <c:auto val="1"/>
        <c:lblAlgn val="ctr"/>
        <c:lblOffset val="100"/>
        <c:noMultiLvlLbl val="0"/>
      </c:cat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781050</xdr:colOff>
      <xdr:row>32</xdr:row>
      <xdr:rowOff>9525</xdr:rowOff>
    </xdr:from>
    <xdr:to>
      <xdr:col>7</xdr:col>
      <xdr:colOff>504825</xdr:colOff>
      <xdr:row>48</xdr:row>
      <xdr:rowOff>38100</xdr:rowOff>
    </xdr:to>
    <xdr:graphicFrame macro="">
      <xdr:nvGraphicFramePr>
        <xdr:cNvPr id="6" name="Graphique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971550</xdr:colOff>
      <xdr:row>11</xdr:row>
      <xdr:rowOff>109537</xdr:rowOff>
    </xdr:from>
    <xdr:to>
      <xdr:col>12</xdr:col>
      <xdr:colOff>161925</xdr:colOff>
      <xdr:row>25</xdr:row>
      <xdr:rowOff>185737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1457325</xdr:colOff>
      <xdr:row>7</xdr:row>
      <xdr:rowOff>61912</xdr:rowOff>
    </xdr:from>
    <xdr:to>
      <xdr:col>8</xdr:col>
      <xdr:colOff>552450</xdr:colOff>
      <xdr:row>21</xdr:row>
      <xdr:rowOff>138112</xdr:rowOff>
    </xdr:to>
    <xdr:graphicFrame macro="">
      <xdr:nvGraphicFramePr>
        <xdr:cNvPr id="7" name="Graphique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185737</xdr:rowOff>
    </xdr:from>
    <xdr:to>
      <xdr:col>12</xdr:col>
      <xdr:colOff>0</xdr:colOff>
      <xdr:row>20</xdr:row>
      <xdr:rowOff>71437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2085974</xdr:colOff>
      <xdr:row>26</xdr:row>
      <xdr:rowOff>180975</xdr:rowOff>
    </xdr:from>
    <xdr:to>
      <xdr:col>4</xdr:col>
      <xdr:colOff>2000249</xdr:colOff>
      <xdr:row>51</xdr:row>
      <xdr:rowOff>76200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547687</xdr:colOff>
      <xdr:row>13</xdr:row>
      <xdr:rowOff>20202</xdr:rowOff>
    </xdr:from>
    <xdr:to>
      <xdr:col>0</xdr:col>
      <xdr:colOff>2821780</xdr:colOff>
      <xdr:row>20</xdr:row>
      <xdr:rowOff>35720</xdr:rowOff>
    </xdr:to>
    <xdr:sp macro="" textlink="">
      <xdr:nvSpPr>
        <xdr:cNvPr id="3" name="ZoneTexte 2"/>
        <xdr:cNvSpPr txBox="1"/>
      </xdr:nvSpPr>
      <xdr:spPr>
        <a:xfrm>
          <a:off x="547687" y="3222983"/>
          <a:ext cx="2274093" cy="13490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i="1"/>
            <a:t>Le</a:t>
          </a:r>
          <a:r>
            <a:rPr lang="fr-FR" sz="1100" i="1" baseline="0"/>
            <a:t> montant des subventions requis pour le secteur informel (la courbe) se lit à droite.</a:t>
          </a:r>
        </a:p>
        <a:p>
          <a:endParaRPr lang="fr-FR" sz="1100" i="1" baseline="0"/>
        </a:p>
        <a:p>
          <a:r>
            <a:rPr lang="fr-FR" sz="1100" i="1" baseline="0"/>
            <a:t>Le % des cibles couvertes (barres) se lit à gauche.</a:t>
          </a:r>
          <a:endParaRPr lang="fr-FR" sz="1100" i="1"/>
        </a:p>
      </xdr:txBody>
    </xdr:sp>
    <xdr:clientData/>
  </xdr:twoCellAnchor>
  <xdr:twoCellAnchor>
    <xdr:from>
      <xdr:col>3</xdr:col>
      <xdr:colOff>92869</xdr:colOff>
      <xdr:row>11</xdr:row>
      <xdr:rowOff>65444</xdr:rowOff>
    </xdr:from>
    <xdr:to>
      <xdr:col>17</xdr:col>
      <xdr:colOff>583406</xdr:colOff>
      <xdr:row>13</xdr:row>
      <xdr:rowOff>71437</xdr:rowOff>
    </xdr:to>
    <xdr:sp macro="" textlink="">
      <xdr:nvSpPr>
        <xdr:cNvPr id="4" name="ZoneTexte 3"/>
        <xdr:cNvSpPr txBox="1"/>
      </xdr:nvSpPr>
      <xdr:spPr>
        <a:xfrm>
          <a:off x="5355432" y="1815663"/>
          <a:ext cx="4586287" cy="3869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/>
            <a:t>Illustration</a:t>
          </a:r>
          <a:r>
            <a:rPr lang="fr-FR" sz="1100" i="1"/>
            <a:t> : Couverture en assurance maladie et subvention d'Etat requise²</a:t>
          </a:r>
          <a:endParaRPr lang="fr-FR" sz="1100" i="1" baseline="0"/>
        </a:p>
        <a:p>
          <a:endParaRPr lang="fr-FR" sz="1100" i="1" baseline="0"/>
        </a:p>
      </xdr:txBody>
    </xdr:sp>
    <xdr:clientData/>
  </xdr:twoCellAnchor>
  <xdr:twoCellAnchor>
    <xdr:from>
      <xdr:col>1</xdr:col>
      <xdr:colOff>142875</xdr:colOff>
      <xdr:row>15</xdr:row>
      <xdr:rowOff>0</xdr:rowOff>
    </xdr:from>
    <xdr:to>
      <xdr:col>33</xdr:col>
      <xdr:colOff>654843</xdr:colOff>
      <xdr:row>39</xdr:row>
      <xdr:rowOff>95250</xdr:rowOff>
    </xdr:to>
    <xdr:graphicFrame macro="">
      <xdr:nvGraphicFramePr>
        <xdr:cNvPr id="7" name="Graphique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4"/>
  <sheetViews>
    <sheetView topLeftCell="A27" workbookViewId="0">
      <selection activeCell="H31" sqref="H31"/>
    </sheetView>
  </sheetViews>
  <sheetFormatPr baseColWidth="10" defaultRowHeight="15" x14ac:dyDescent="0.25"/>
  <cols>
    <col min="2" max="2" width="22.5703125" bestFit="1" customWidth="1"/>
    <col min="3" max="3" width="35.42578125" bestFit="1" customWidth="1"/>
    <col min="4" max="4" width="60" customWidth="1"/>
    <col min="5" max="5" width="11.42578125" hidden="1" customWidth="1"/>
    <col min="6" max="6" width="11.42578125" customWidth="1"/>
    <col min="7" max="7" width="17.85546875" customWidth="1"/>
    <col min="9" max="9" width="12.28515625" bestFit="1" customWidth="1"/>
  </cols>
  <sheetData>
    <row r="2" spans="2:4" x14ac:dyDescent="0.25">
      <c r="B2" s="2">
        <v>990</v>
      </c>
      <c r="C2" s="2" t="s">
        <v>145</v>
      </c>
      <c r="D2" s="15">
        <v>5567756000</v>
      </c>
    </row>
    <row r="3" spans="2:4" x14ac:dyDescent="0.25">
      <c r="B3" s="2"/>
      <c r="C3" s="2" t="s">
        <v>155</v>
      </c>
      <c r="D3" s="163">
        <f>'CRM 2016'!D3</f>
        <v>2556742000</v>
      </c>
    </row>
    <row r="4" spans="2:4" x14ac:dyDescent="0.25">
      <c r="B4" s="2"/>
      <c r="C4" s="2" t="s">
        <v>187</v>
      </c>
      <c r="D4" s="163">
        <f>D2-D3</f>
        <v>3011014000</v>
      </c>
    </row>
    <row r="5" spans="2:4" x14ac:dyDescent="0.25">
      <c r="B5" s="2">
        <v>180</v>
      </c>
      <c r="C5" s="2" t="s">
        <v>146</v>
      </c>
      <c r="D5" s="163">
        <v>789135248</v>
      </c>
    </row>
    <row r="6" spans="2:4" x14ac:dyDescent="0.25">
      <c r="B6" s="2">
        <v>210</v>
      </c>
      <c r="C6" s="2" t="s">
        <v>147</v>
      </c>
      <c r="D6" s="163">
        <v>831071086</v>
      </c>
    </row>
    <row r="7" spans="2:4" x14ac:dyDescent="0.25">
      <c r="B7" s="2"/>
      <c r="C7" s="35" t="s">
        <v>148</v>
      </c>
      <c r="D7" s="15">
        <v>86701744113</v>
      </c>
    </row>
    <row r="8" spans="2:4" x14ac:dyDescent="0.25">
      <c r="B8" s="2">
        <v>610</v>
      </c>
      <c r="C8" s="2" t="s">
        <v>186</v>
      </c>
      <c r="D8" s="15">
        <f>D7-D2-D5-D6</f>
        <v>79513781779</v>
      </c>
    </row>
    <row r="9" spans="2:4" x14ac:dyDescent="0.25">
      <c r="B9" s="2">
        <v>640</v>
      </c>
      <c r="C9" s="2" t="s">
        <v>149</v>
      </c>
      <c r="D9" s="15">
        <v>2092294423</v>
      </c>
    </row>
    <row r="10" spans="2:4" x14ac:dyDescent="0.25">
      <c r="B10" s="2">
        <v>660</v>
      </c>
      <c r="C10" s="2" t="s">
        <v>173</v>
      </c>
      <c r="D10" s="5">
        <f>D14-D9-D13</f>
        <v>7827870828</v>
      </c>
    </row>
    <row r="11" spans="2:4" x14ac:dyDescent="0.25">
      <c r="B11" s="2"/>
      <c r="C11" s="2" t="s">
        <v>150</v>
      </c>
      <c r="D11" s="15">
        <v>24706151</v>
      </c>
    </row>
    <row r="12" spans="2:4" x14ac:dyDescent="0.25">
      <c r="B12" s="2"/>
      <c r="C12" s="2" t="s">
        <v>151</v>
      </c>
      <c r="D12" s="15">
        <v>1032363671</v>
      </c>
    </row>
    <row r="13" spans="2:4" x14ac:dyDescent="0.25">
      <c r="B13" s="2"/>
      <c r="C13" s="2" t="s">
        <v>158</v>
      </c>
      <c r="D13" s="15">
        <v>37883104000</v>
      </c>
    </row>
    <row r="14" spans="2:4" x14ac:dyDescent="0.25">
      <c r="B14" s="2"/>
      <c r="C14" s="35" t="s">
        <v>152</v>
      </c>
      <c r="D14" s="15">
        <v>47803269251</v>
      </c>
    </row>
    <row r="16" spans="2:4" x14ac:dyDescent="0.25">
      <c r="B16" s="166" t="s">
        <v>153</v>
      </c>
      <c r="C16" s="166" t="s">
        <v>159</v>
      </c>
      <c r="D16" s="167">
        <f>D7+D14</f>
        <v>134505013364</v>
      </c>
    </row>
    <row r="17" spans="3:9" x14ac:dyDescent="0.25">
      <c r="D17" s="20"/>
    </row>
    <row r="18" spans="3:9" x14ac:dyDescent="0.25">
      <c r="D18" s="2"/>
      <c r="E18" s="2"/>
      <c r="F18" s="2" t="s">
        <v>163</v>
      </c>
      <c r="G18" s="2"/>
      <c r="H18" s="2"/>
    </row>
    <row r="19" spans="3:9" x14ac:dyDescent="0.25">
      <c r="D19" s="2" t="s">
        <v>162</v>
      </c>
      <c r="E19" s="2"/>
      <c r="F19" s="5">
        <f>G19/1000000</f>
        <v>2556.7420000000002</v>
      </c>
      <c r="G19" s="4">
        <f>D3</f>
        <v>2556742000</v>
      </c>
      <c r="H19" s="164">
        <f>G19/$G$30</f>
        <v>2.6174945943399551E-2</v>
      </c>
    </row>
    <row r="20" spans="3:9" x14ac:dyDescent="0.25">
      <c r="D20" s="2" t="s">
        <v>57</v>
      </c>
      <c r="E20" s="2"/>
      <c r="F20" s="5">
        <f t="shared" ref="F20:F28" si="0">G20/1000000</f>
        <v>24.706150999999998</v>
      </c>
      <c r="G20" s="4">
        <f>D11</f>
        <v>24706151</v>
      </c>
      <c r="H20" s="17">
        <f t="shared" ref="H20:H28" si="1">G20/$G$30</f>
        <v>2.529321170827822E-4</v>
      </c>
    </row>
    <row r="21" spans="3:9" x14ac:dyDescent="0.25">
      <c r="D21" s="2" t="s">
        <v>56</v>
      </c>
      <c r="E21" s="2"/>
      <c r="F21" s="5">
        <f t="shared" si="0"/>
        <v>1032.3636710000001</v>
      </c>
      <c r="G21" s="4">
        <f>D12</f>
        <v>1032363671</v>
      </c>
      <c r="H21" s="164">
        <f t="shared" si="1"/>
        <v>1.0568944102437602E-2</v>
      </c>
    </row>
    <row r="22" spans="3:9" x14ac:dyDescent="0.25">
      <c r="D22" s="2" t="s">
        <v>60</v>
      </c>
      <c r="E22" s="2"/>
      <c r="F22" s="5">
        <f t="shared" si="0"/>
        <v>6896.6596650000001</v>
      </c>
      <c r="G22" s="165">
        <f>'CRM 2016'!F3</f>
        <v>6896659665</v>
      </c>
      <c r="H22" s="164">
        <f t="shared" si="1"/>
        <v>7.0605361793015908E-2</v>
      </c>
    </row>
    <row r="23" spans="3:9" x14ac:dyDescent="0.25">
      <c r="D23" s="2" t="s">
        <v>160</v>
      </c>
      <c r="E23" s="2"/>
      <c r="F23" s="5">
        <f t="shared" si="0"/>
        <v>7827.8708280000001</v>
      </c>
      <c r="G23" s="4">
        <f>D10</f>
        <v>7827870828</v>
      </c>
      <c r="H23" s="164">
        <f t="shared" si="1"/>
        <v>8.0138745237029893E-2</v>
      </c>
    </row>
    <row r="24" spans="3:9" x14ac:dyDescent="0.25">
      <c r="D24" s="2" t="s">
        <v>189</v>
      </c>
      <c r="E24" s="2"/>
      <c r="F24" s="5">
        <f t="shared" si="0"/>
        <v>2092.2944229999998</v>
      </c>
      <c r="G24" s="4">
        <f>D9</f>
        <v>2092294423</v>
      </c>
      <c r="H24" s="164">
        <f t="shared" si="1"/>
        <v>2.1420109428210338E-2</v>
      </c>
    </row>
    <row r="25" spans="3:9" x14ac:dyDescent="0.25">
      <c r="D25" s="2" t="s">
        <v>157</v>
      </c>
      <c r="E25" s="2"/>
      <c r="F25" s="5">
        <f t="shared" si="0"/>
        <v>72617.122113999998</v>
      </c>
      <c r="G25" s="4">
        <f>D8-'CRM 2016'!F3</f>
        <v>72617122114</v>
      </c>
      <c r="H25" s="164">
        <f t="shared" si="1"/>
        <v>0.74342630030687262</v>
      </c>
    </row>
    <row r="26" spans="3:9" x14ac:dyDescent="0.25">
      <c r="D26" s="2" t="s">
        <v>188</v>
      </c>
      <c r="E26" s="2"/>
      <c r="F26" s="5">
        <f t="shared" si="0"/>
        <v>3011.0140000000001</v>
      </c>
      <c r="G26" s="4">
        <f>D4</f>
        <v>3011014000</v>
      </c>
      <c r="H26" s="164">
        <f t="shared" si="1"/>
        <v>3.0825608796202063E-2</v>
      </c>
    </row>
    <row r="27" spans="3:9" x14ac:dyDescent="0.25">
      <c r="D27" s="2" t="s">
        <v>156</v>
      </c>
      <c r="E27" s="2"/>
      <c r="F27" s="5">
        <f t="shared" si="0"/>
        <v>789.13524800000005</v>
      </c>
      <c r="G27" s="4">
        <f>D5</f>
        <v>789135248</v>
      </c>
      <c r="H27" s="164">
        <f t="shared" si="1"/>
        <v>8.0788646091123784E-3</v>
      </c>
    </row>
    <row r="28" spans="3:9" x14ac:dyDescent="0.25">
      <c r="D28" s="2" t="s">
        <v>147</v>
      </c>
      <c r="E28" s="2"/>
      <c r="F28" s="5">
        <f t="shared" si="0"/>
        <v>831.07108600000004</v>
      </c>
      <c r="G28" s="4">
        <f>D6</f>
        <v>831071086</v>
      </c>
      <c r="H28" s="164">
        <f t="shared" si="1"/>
        <v>8.5081876666368208E-3</v>
      </c>
    </row>
    <row r="30" spans="3:9" x14ac:dyDescent="0.25">
      <c r="C30" s="166" t="s">
        <v>161</v>
      </c>
      <c r="D30" s="166" t="s">
        <v>190</v>
      </c>
      <c r="E30" s="166"/>
      <c r="F30" s="166"/>
      <c r="G30" s="228">
        <f>SUM(G19:G28)</f>
        <v>97678979186</v>
      </c>
      <c r="I30" s="227"/>
    </row>
    <row r="31" spans="3:9" x14ac:dyDescent="0.25">
      <c r="C31" s="34" t="s">
        <v>192</v>
      </c>
      <c r="D31" s="34" t="s">
        <v>191</v>
      </c>
      <c r="E31" s="34"/>
      <c r="F31" s="34"/>
      <c r="G31" s="229">
        <v>98749555603</v>
      </c>
      <c r="H31" s="84">
        <f>(G31-G30)/G30</f>
        <v>1.0960151569166297E-2</v>
      </c>
    </row>
    <row r="33" spans="2:3" x14ac:dyDescent="0.25">
      <c r="B33" s="104" t="s">
        <v>62</v>
      </c>
      <c r="C33" s="105">
        <v>1718148154000</v>
      </c>
    </row>
    <row r="34" spans="2:3" x14ac:dyDescent="0.25">
      <c r="B34" s="2" t="s">
        <v>154</v>
      </c>
      <c r="C34" s="5">
        <f>G31</f>
        <v>98749555603</v>
      </c>
    </row>
    <row r="35" spans="2:3" x14ac:dyDescent="0.25">
      <c r="B35" s="2" t="s">
        <v>54</v>
      </c>
      <c r="C35" s="17">
        <f>C34/C33</f>
        <v>5.7474412420781266E-2</v>
      </c>
    </row>
    <row r="36" spans="2:3" x14ac:dyDescent="0.25">
      <c r="B36" s="2" t="s">
        <v>164</v>
      </c>
      <c r="C36" s="5">
        <f>C37*C33</f>
        <v>180422517158.68707</v>
      </c>
    </row>
    <row r="37" spans="2:3" x14ac:dyDescent="0.25">
      <c r="B37" s="2" t="s">
        <v>54</v>
      </c>
      <c r="C37" s="17">
        <f>C44</f>
        <v>0.10500987166831195</v>
      </c>
    </row>
    <row r="39" spans="2:3" x14ac:dyDescent="0.25">
      <c r="B39" s="34" t="s">
        <v>165</v>
      </c>
    </row>
    <row r="40" spans="2:3" x14ac:dyDescent="0.25">
      <c r="B40" t="s">
        <v>167</v>
      </c>
      <c r="C40" s="1">
        <v>1850000000000</v>
      </c>
    </row>
    <row r="41" spans="2:3" x14ac:dyDescent="0.25">
      <c r="B41" t="s">
        <v>166</v>
      </c>
      <c r="C41" s="1">
        <v>1013000000000</v>
      </c>
    </row>
    <row r="42" spans="2:3" x14ac:dyDescent="0.25">
      <c r="B42" s="34" t="s">
        <v>168</v>
      </c>
      <c r="C42" s="168">
        <f>C41/C40</f>
        <v>0.54756756756756753</v>
      </c>
    </row>
    <row r="43" spans="2:3" x14ac:dyDescent="0.25">
      <c r="B43" s="34" t="s">
        <v>169</v>
      </c>
      <c r="C43" s="61">
        <v>5.7500000000000002E-2</v>
      </c>
    </row>
    <row r="44" spans="2:3" x14ac:dyDescent="0.25">
      <c r="B44" s="34" t="s">
        <v>170</v>
      </c>
      <c r="C44" s="230">
        <f>C43/C42</f>
        <v>0.10500987166831195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C18" sqref="C18"/>
    </sheetView>
  </sheetViews>
  <sheetFormatPr baseColWidth="10" defaultRowHeight="15" x14ac:dyDescent="0.25"/>
  <cols>
    <col min="1" max="1" width="11.5703125" customWidth="1"/>
    <col min="2" max="2" width="50.140625" customWidth="1"/>
    <col min="3" max="3" width="18.85546875" bestFit="1" customWidth="1"/>
  </cols>
  <sheetData>
    <row r="1" spans="1:3" ht="16.5" x14ac:dyDescent="0.3">
      <c r="A1" s="129"/>
      <c r="B1" s="129"/>
      <c r="C1" s="129"/>
    </row>
    <row r="2" spans="1:3" ht="15.75" x14ac:dyDescent="0.25">
      <c r="A2" s="130" t="s">
        <v>96</v>
      </c>
      <c r="B2" s="131" t="s">
        <v>97</v>
      </c>
      <c r="C2" s="132">
        <v>2016</v>
      </c>
    </row>
    <row r="3" spans="1:3" ht="15.75" x14ac:dyDescent="0.25">
      <c r="A3" s="133"/>
      <c r="B3" s="131" t="s">
        <v>98</v>
      </c>
      <c r="C3" s="134" t="s">
        <v>99</v>
      </c>
    </row>
    <row r="4" spans="1:3" ht="15.75" x14ac:dyDescent="0.25">
      <c r="A4" s="182" t="s">
        <v>100</v>
      </c>
      <c r="B4" s="135" t="s">
        <v>101</v>
      </c>
      <c r="C4" s="136">
        <v>542952916</v>
      </c>
    </row>
    <row r="5" spans="1:3" ht="15.75" x14ac:dyDescent="0.25">
      <c r="A5" s="183"/>
      <c r="B5" s="135" t="s">
        <v>102</v>
      </c>
      <c r="C5" s="136">
        <v>1087257550</v>
      </c>
    </row>
    <row r="6" spans="1:3" ht="15.75" x14ac:dyDescent="0.25">
      <c r="A6" s="183"/>
      <c r="B6" s="135" t="s">
        <v>103</v>
      </c>
      <c r="C6" s="136">
        <v>3374510288</v>
      </c>
    </row>
    <row r="7" spans="1:3" ht="15.75" x14ac:dyDescent="0.25">
      <c r="A7" s="183"/>
      <c r="B7" s="135" t="s">
        <v>104</v>
      </c>
      <c r="C7" s="136">
        <v>1022743585</v>
      </c>
    </row>
    <row r="8" spans="1:3" ht="15.75" x14ac:dyDescent="0.25">
      <c r="A8" s="183"/>
      <c r="B8" s="135" t="s">
        <v>105</v>
      </c>
      <c r="C8" s="136">
        <v>607307421</v>
      </c>
    </row>
    <row r="9" spans="1:3" ht="15.75" x14ac:dyDescent="0.25">
      <c r="A9" s="183"/>
      <c r="B9" s="135" t="s">
        <v>106</v>
      </c>
      <c r="C9" s="136">
        <v>261887905</v>
      </c>
    </row>
    <row r="10" spans="1:3" ht="15.75" x14ac:dyDescent="0.25">
      <c r="A10" s="183"/>
      <c r="B10" s="131" t="s">
        <v>107</v>
      </c>
      <c r="C10" s="133"/>
    </row>
    <row r="11" spans="1:3" ht="15.75" x14ac:dyDescent="0.25">
      <c r="A11" s="183"/>
      <c r="B11" s="135" t="s">
        <v>108</v>
      </c>
      <c r="C11" s="136">
        <v>459773803</v>
      </c>
    </row>
    <row r="12" spans="1:3" ht="15.75" x14ac:dyDescent="0.25">
      <c r="A12" s="183"/>
      <c r="B12" s="135" t="s">
        <v>109</v>
      </c>
      <c r="C12" s="136">
        <v>848275000</v>
      </c>
    </row>
    <row r="13" spans="1:3" ht="15.75" x14ac:dyDescent="0.25">
      <c r="A13" s="183"/>
      <c r="B13" s="131" t="s">
        <v>110</v>
      </c>
      <c r="C13" s="133"/>
    </row>
    <row r="14" spans="1:3" ht="15.75" x14ac:dyDescent="0.25">
      <c r="A14" s="184"/>
      <c r="B14" s="135" t="s">
        <v>111</v>
      </c>
      <c r="C14" s="136">
        <v>2280093569</v>
      </c>
    </row>
  </sheetData>
  <mergeCells count="1">
    <mergeCell ref="A4:A14"/>
  </mergeCells>
  <pageMargins left="0.7" right="0.7" top="0.75" bottom="0.75" header="0.3" footer="0.3"/>
  <pageSetup paperSize="9" scale="6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zoomScaleNormal="100" workbookViewId="0">
      <selection activeCell="C21" sqref="C21"/>
    </sheetView>
  </sheetViews>
  <sheetFormatPr baseColWidth="10" defaultRowHeight="15" x14ac:dyDescent="0.25"/>
  <cols>
    <col min="1" max="1" width="16.28515625" bestFit="1" customWidth="1"/>
    <col min="2" max="2" width="21.7109375" customWidth="1"/>
    <col min="3" max="3" width="18.85546875" bestFit="1" customWidth="1"/>
    <col min="4" max="4" width="15.140625" bestFit="1" customWidth="1"/>
    <col min="5" max="5" width="13.7109375" bestFit="1" customWidth="1"/>
    <col min="6" max="6" width="12.28515625" bestFit="1" customWidth="1"/>
    <col min="7" max="7" width="16.28515625" bestFit="1" customWidth="1"/>
  </cols>
  <sheetData>
    <row r="1" spans="1:6" ht="15.75" thickBot="1" x14ac:dyDescent="0.3">
      <c r="A1" s="185" t="s">
        <v>53</v>
      </c>
      <c r="B1" s="186"/>
      <c r="C1" s="186"/>
      <c r="D1" s="186"/>
      <c r="E1" s="186"/>
      <c r="F1" s="187"/>
    </row>
    <row r="2" spans="1:6" ht="15.75" thickBot="1" x14ac:dyDescent="0.3">
      <c r="A2" s="93" t="s">
        <v>55</v>
      </c>
      <c r="B2" s="100" t="s">
        <v>56</v>
      </c>
      <c r="C2" s="101" t="s">
        <v>57</v>
      </c>
      <c r="D2" s="101" t="s">
        <v>58</v>
      </c>
      <c r="E2" s="101" t="s">
        <v>59</v>
      </c>
      <c r="F2" s="102" t="s">
        <v>60</v>
      </c>
    </row>
    <row r="3" spans="1:6" x14ac:dyDescent="0.25">
      <c r="A3" s="94">
        <v>37833104000</v>
      </c>
      <c r="B3" s="15">
        <v>1032388000</v>
      </c>
      <c r="C3" s="15">
        <v>39281000</v>
      </c>
      <c r="D3" s="15">
        <v>2556742000</v>
      </c>
      <c r="E3" s="15">
        <v>459773803</v>
      </c>
      <c r="F3" s="99">
        <v>6896659665</v>
      </c>
    </row>
    <row r="4" spans="1:6" ht="15.75" thickBot="1" x14ac:dyDescent="0.3">
      <c r="A4" s="96"/>
      <c r="B4" s="188">
        <f>SUM(B3:F3)</f>
        <v>10984844468</v>
      </c>
      <c r="C4" s="188"/>
      <c r="D4" s="188"/>
      <c r="E4" s="188"/>
      <c r="F4" s="189"/>
    </row>
    <row r="5" spans="1:6" ht="15.75" thickBot="1" x14ac:dyDescent="0.3">
      <c r="A5" s="40" t="s">
        <v>172</v>
      </c>
      <c r="B5" s="103">
        <f>B3/$B$4</f>
        <v>9.3982941953111326E-2</v>
      </c>
      <c r="C5" s="181">
        <f>C3/$B$4</f>
        <v>3.5759268248567069E-3</v>
      </c>
      <c r="D5" s="103">
        <f>D3/$B$4</f>
        <v>0.23275177062798263</v>
      </c>
      <c r="E5" s="103">
        <f>E3/$B$4</f>
        <v>4.1855285647363433E-2</v>
      </c>
      <c r="F5" s="103">
        <f>F3/$B$4</f>
        <v>0.62783407494668586</v>
      </c>
    </row>
    <row r="6" spans="1:6" x14ac:dyDescent="0.25">
      <c r="A6" s="81" t="s">
        <v>171</v>
      </c>
      <c r="B6" s="169">
        <f>B3/$B$7</f>
        <v>0.25252967997983139</v>
      </c>
      <c r="C6" s="169">
        <f t="shared" ref="C6:E6" si="0">C3/$B$7</f>
        <v>9.6084208255885935E-3</v>
      </c>
      <c r="D6" s="169">
        <f t="shared" si="0"/>
        <v>0.62539785337585685</v>
      </c>
      <c r="E6" s="169">
        <f t="shared" si="0"/>
        <v>0.11246404581872323</v>
      </c>
      <c r="F6" s="97"/>
    </row>
    <row r="7" spans="1:6" ht="15.75" thickBot="1" x14ac:dyDescent="0.3">
      <c r="B7" s="188">
        <f>SUM(B3:E3)</f>
        <v>4088184803</v>
      </c>
      <c r="C7" s="188"/>
      <c r="D7" s="188"/>
      <c r="E7" s="188"/>
    </row>
    <row r="10" spans="1:6" x14ac:dyDescent="0.25">
      <c r="B10" s="2" t="s">
        <v>61</v>
      </c>
      <c r="C10" s="95">
        <f>'fonction santé'!$C$34</f>
        <v>98749555603</v>
      </c>
    </row>
    <row r="11" spans="1:6" x14ac:dyDescent="0.25">
      <c r="B11" s="2" t="s">
        <v>78</v>
      </c>
      <c r="C11" s="164">
        <f>B4/C10</f>
        <v>0.11123943192374509</v>
      </c>
    </row>
    <row r="12" spans="1:6" x14ac:dyDescent="0.25">
      <c r="B12" t="s">
        <v>207</v>
      </c>
      <c r="C12" s="168">
        <f>B4/'fonction santé'!$C$33</f>
        <v>6.3934209878387469E-3</v>
      </c>
    </row>
    <row r="15" spans="1:6" x14ac:dyDescent="0.25">
      <c r="A15" s="235" t="s">
        <v>202</v>
      </c>
      <c r="B15" s="2" t="s">
        <v>200</v>
      </c>
      <c r="C15" s="5">
        <f>B3</f>
        <v>1032388000</v>
      </c>
    </row>
    <row r="16" spans="1:6" x14ac:dyDescent="0.25">
      <c r="A16" s="2"/>
      <c r="B16" s="2" t="s">
        <v>203</v>
      </c>
      <c r="C16" s="15">
        <v>706143830</v>
      </c>
    </row>
    <row r="17" spans="1:3" x14ac:dyDescent="0.25">
      <c r="A17" s="2"/>
      <c r="B17" s="2" t="s">
        <v>201</v>
      </c>
      <c r="C17" s="15">
        <v>196597920</v>
      </c>
    </row>
    <row r="18" spans="1:3" x14ac:dyDescent="0.25">
      <c r="A18" s="2" t="s">
        <v>205</v>
      </c>
      <c r="B18" s="2" t="s">
        <v>204</v>
      </c>
      <c r="C18" s="164">
        <f>C17/C16</f>
        <v>0.27841058952536624</v>
      </c>
    </row>
    <row r="19" spans="1:3" x14ac:dyDescent="0.25">
      <c r="A19" s="2" t="s">
        <v>206</v>
      </c>
      <c r="B19" s="2" t="s">
        <v>54</v>
      </c>
      <c r="C19" s="164">
        <f>C17/C15</f>
        <v>0.19043026459044468</v>
      </c>
    </row>
  </sheetData>
  <mergeCells count="3">
    <mergeCell ref="A1:F1"/>
    <mergeCell ref="B4:F4"/>
    <mergeCell ref="B7:E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20"/>
  <sheetViews>
    <sheetView workbookViewId="0">
      <selection activeCell="B5" sqref="B5"/>
    </sheetView>
  </sheetViews>
  <sheetFormatPr baseColWidth="10" defaultRowHeight="15" x14ac:dyDescent="0.25"/>
  <cols>
    <col min="1" max="1" width="39.5703125" customWidth="1"/>
    <col min="2" max="2" width="22.5703125" bestFit="1" customWidth="1"/>
    <col min="3" max="3" width="18.7109375" bestFit="1" customWidth="1"/>
  </cols>
  <sheetData>
    <row r="1" spans="1:3" x14ac:dyDescent="0.25">
      <c r="A1" s="2">
        <v>2016</v>
      </c>
      <c r="B1" s="2" t="s">
        <v>79</v>
      </c>
      <c r="C1" s="2" t="s">
        <v>80</v>
      </c>
    </row>
    <row r="2" spans="1:3" x14ac:dyDescent="0.25">
      <c r="A2" s="2" t="s">
        <v>81</v>
      </c>
      <c r="B2" s="15">
        <v>18343000</v>
      </c>
      <c r="C2" s="106"/>
    </row>
    <row r="3" spans="1:3" x14ac:dyDescent="0.25">
      <c r="A3" s="2" t="s">
        <v>71</v>
      </c>
      <c r="B3" s="15">
        <f>SUM(B4:B6)</f>
        <v>2186290.5</v>
      </c>
      <c r="C3" s="107">
        <f>SUM(C4:C6)</f>
        <v>0.11918936379000164</v>
      </c>
    </row>
    <row r="4" spans="1:3" x14ac:dyDescent="0.25">
      <c r="A4" s="2" t="s">
        <v>64</v>
      </c>
      <c r="B4" s="15">
        <v>134875</v>
      </c>
      <c r="C4" s="107">
        <f>B4/B2</f>
        <v>7.3529411764705881E-3</v>
      </c>
    </row>
    <row r="5" spans="1:3" x14ac:dyDescent="0.25">
      <c r="A5" s="2" t="s">
        <v>69</v>
      </c>
      <c r="B5" s="15">
        <f>C5*B2</f>
        <v>907978.5</v>
      </c>
      <c r="C5" s="108">
        <v>4.9500000000000002E-2</v>
      </c>
    </row>
    <row r="6" spans="1:3" x14ac:dyDescent="0.25">
      <c r="A6" s="2" t="s">
        <v>70</v>
      </c>
      <c r="B6" s="15">
        <v>1143437</v>
      </c>
      <c r="C6" s="107">
        <f>B6/B2</f>
        <v>6.2336422613531048E-2</v>
      </c>
    </row>
    <row r="7" spans="1:3" x14ac:dyDescent="0.25">
      <c r="A7" s="109" t="s">
        <v>83</v>
      </c>
      <c r="B7" s="5">
        <f>B2-B3</f>
        <v>16156709.5</v>
      </c>
    </row>
    <row r="10" spans="1:3" x14ac:dyDescent="0.25">
      <c r="C10" s="29"/>
    </row>
    <row r="11" spans="1:3" x14ac:dyDescent="0.25">
      <c r="B11" s="1"/>
      <c r="C11" s="1"/>
    </row>
    <row r="12" spans="1:3" x14ac:dyDescent="0.25">
      <c r="B12" s="1"/>
      <c r="C12" s="1"/>
    </row>
    <row r="13" spans="1:3" x14ac:dyDescent="0.25">
      <c r="B13" s="29"/>
      <c r="C13" s="1"/>
    </row>
    <row r="14" spans="1:3" x14ac:dyDescent="0.25">
      <c r="B14" s="1"/>
      <c r="C14" s="1"/>
    </row>
    <row r="15" spans="1:3" x14ac:dyDescent="0.25">
      <c r="B15" s="20"/>
      <c r="C15" s="1"/>
    </row>
    <row r="16" spans="1:3" x14ac:dyDescent="0.25">
      <c r="B16" s="85"/>
      <c r="C16" s="85"/>
    </row>
    <row r="17" spans="2:3" x14ac:dyDescent="0.25">
      <c r="B17" s="85"/>
      <c r="C17" s="85"/>
    </row>
    <row r="18" spans="2:3" x14ac:dyDescent="0.25">
      <c r="B18" s="85"/>
      <c r="C18" s="85"/>
    </row>
    <row r="19" spans="2:3" x14ac:dyDescent="0.25">
      <c r="B19" s="85"/>
      <c r="C19" s="85"/>
    </row>
    <row r="20" spans="2:3" x14ac:dyDescent="0.25">
      <c r="B20" s="20"/>
      <c r="C20" s="20"/>
    </row>
  </sheetData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"/>
  <sheetViews>
    <sheetView workbookViewId="0">
      <selection activeCell="A25" sqref="A25"/>
    </sheetView>
  </sheetViews>
  <sheetFormatPr baseColWidth="10" defaultRowHeight="15" x14ac:dyDescent="0.25"/>
  <cols>
    <col min="1" max="1" width="36.85546875" bestFit="1" customWidth="1"/>
    <col min="2" max="6" width="5" bestFit="1" customWidth="1"/>
  </cols>
  <sheetData>
    <row r="2" spans="1:6" x14ac:dyDescent="0.25">
      <c r="A2" t="s">
        <v>82</v>
      </c>
    </row>
    <row r="4" spans="1:6" x14ac:dyDescent="0.25">
      <c r="A4" s="2"/>
      <c r="B4" s="2">
        <v>2012</v>
      </c>
      <c r="C4" s="98" t="s">
        <v>65</v>
      </c>
      <c r="D4" s="98" t="s">
        <v>66</v>
      </c>
      <c r="E4" s="98" t="s">
        <v>67</v>
      </c>
      <c r="F4" s="98" t="s">
        <v>68</v>
      </c>
    </row>
    <row r="5" spans="1:6" x14ac:dyDescent="0.25">
      <c r="A5" s="2" t="s">
        <v>72</v>
      </c>
      <c r="B5" s="2">
        <v>5.78</v>
      </c>
      <c r="C5" s="2">
        <v>4.46</v>
      </c>
      <c r="D5" s="2">
        <v>5.72</v>
      </c>
      <c r="E5" s="2">
        <v>5.58</v>
      </c>
      <c r="F5" s="2">
        <v>5.23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pane xSplit="3" ySplit="2" topLeftCell="D3" activePane="bottomRight" state="frozen"/>
      <selection pane="topRight"/>
      <selection pane="bottomLeft"/>
      <selection pane="bottomRight" activeCell="D7" sqref="D7"/>
    </sheetView>
  </sheetViews>
  <sheetFormatPr baseColWidth="10" defaultColWidth="10.140625" defaultRowHeight="12.75" x14ac:dyDescent="0.2"/>
  <cols>
    <col min="1" max="1" width="7.5703125" style="150" customWidth="1"/>
    <col min="2" max="2" width="92.42578125" style="150" customWidth="1"/>
    <col min="3" max="3" width="10.140625" style="150" customWidth="1"/>
    <col min="4" max="4" width="4.85546875" style="150" customWidth="1"/>
    <col min="5" max="16384" width="10.140625" style="150"/>
  </cols>
  <sheetData>
    <row r="1" spans="1:4" x14ac:dyDescent="0.2">
      <c r="A1" s="190" t="s">
        <v>126</v>
      </c>
      <c r="B1" s="192" t="s">
        <v>127</v>
      </c>
      <c r="C1" s="192"/>
      <c r="D1" s="149" t="s">
        <v>66</v>
      </c>
    </row>
    <row r="2" spans="1:4" ht="23.25" thickBot="1" x14ac:dyDescent="0.25">
      <c r="A2" s="191"/>
      <c r="B2" s="193"/>
      <c r="C2" s="193"/>
      <c r="D2" s="149" t="s">
        <v>128</v>
      </c>
    </row>
    <row r="3" spans="1:4" x14ac:dyDescent="0.2">
      <c r="A3" s="151" t="s">
        <v>129</v>
      </c>
      <c r="B3" s="151" t="s">
        <v>130</v>
      </c>
      <c r="C3" s="152" t="s">
        <v>131</v>
      </c>
      <c r="D3" s="153">
        <v>6.9901876500000002</v>
      </c>
    </row>
    <row r="4" spans="1:4" x14ac:dyDescent="0.2">
      <c r="A4" s="154" t="s">
        <v>129</v>
      </c>
      <c r="B4" s="154" t="s">
        <v>132</v>
      </c>
      <c r="C4" s="155" t="s">
        <v>131</v>
      </c>
      <c r="D4" s="156">
        <v>27.973969290000003</v>
      </c>
    </row>
    <row r="5" spans="1:4" x14ac:dyDescent="0.2">
      <c r="A5" s="157" t="s">
        <v>129</v>
      </c>
      <c r="B5" s="157" t="s">
        <v>133</v>
      </c>
      <c r="C5" s="158" t="s">
        <v>131</v>
      </c>
      <c r="D5" s="153">
        <v>72.026030710000015</v>
      </c>
    </row>
    <row r="6" spans="1:4" x14ac:dyDescent="0.2">
      <c r="A6" s="154" t="s">
        <v>129</v>
      </c>
      <c r="B6" s="154" t="s">
        <v>134</v>
      </c>
      <c r="C6" s="155" t="s">
        <v>131</v>
      </c>
      <c r="D6" s="156">
        <v>7.0363372399999999</v>
      </c>
    </row>
    <row r="7" spans="1:4" x14ac:dyDescent="0.2">
      <c r="A7" s="157" t="s">
        <v>129</v>
      </c>
      <c r="B7" s="157" t="s">
        <v>135</v>
      </c>
      <c r="C7" s="158" t="s">
        <v>131</v>
      </c>
      <c r="D7" s="153">
        <v>27.243413600000007</v>
      </c>
    </row>
    <row r="8" spans="1:4" x14ac:dyDescent="0.2">
      <c r="A8" s="154" t="s">
        <v>129</v>
      </c>
      <c r="B8" s="154" t="s">
        <v>136</v>
      </c>
      <c r="C8" s="155" t="s">
        <v>131</v>
      </c>
      <c r="D8" s="156">
        <v>45.990564639999988</v>
      </c>
    </row>
    <row r="9" spans="1:4" x14ac:dyDescent="0.2">
      <c r="A9" s="157" t="s">
        <v>129</v>
      </c>
      <c r="B9" s="157" t="s">
        <v>137</v>
      </c>
      <c r="C9" s="158" t="s">
        <v>131</v>
      </c>
      <c r="D9" s="153">
        <v>110.11661904000002</v>
      </c>
    </row>
    <row r="10" spans="1:4" x14ac:dyDescent="0.2">
      <c r="A10" s="154" t="s">
        <v>129</v>
      </c>
      <c r="B10" s="154" t="s">
        <v>138</v>
      </c>
      <c r="C10" s="155" t="s">
        <v>131</v>
      </c>
      <c r="D10" s="159">
        <v>22.377283849999998</v>
      </c>
    </row>
    <row r="14" spans="1:4" x14ac:dyDescent="0.2">
      <c r="B14" s="160" t="s">
        <v>139</v>
      </c>
      <c r="C14" s="161">
        <v>7.0000000000000007E-2</v>
      </c>
    </row>
    <row r="15" spans="1:4" x14ac:dyDescent="0.2">
      <c r="B15" s="160" t="s">
        <v>140</v>
      </c>
      <c r="C15" s="161">
        <v>0.28000000000000003</v>
      </c>
    </row>
    <row r="16" spans="1:4" x14ac:dyDescent="0.2">
      <c r="B16" s="160" t="s">
        <v>141</v>
      </c>
      <c r="C16" s="161">
        <v>0.27200000000000002</v>
      </c>
    </row>
    <row r="17" spans="2:3" x14ac:dyDescent="0.2">
      <c r="B17" s="160" t="s">
        <v>142</v>
      </c>
      <c r="C17" s="161">
        <v>0.46</v>
      </c>
    </row>
    <row r="18" spans="2:3" x14ac:dyDescent="0.2">
      <c r="B18" s="160" t="s">
        <v>143</v>
      </c>
      <c r="C18" s="162"/>
    </row>
    <row r="24" spans="2:3" x14ac:dyDescent="0.2">
      <c r="B24" s="150" t="s">
        <v>144</v>
      </c>
    </row>
  </sheetData>
  <mergeCells count="2">
    <mergeCell ref="A1:A2"/>
    <mergeCell ref="B1:C2"/>
  </mergeCells>
  <pageMargins left="1.18" right="0.79" top="0.79" bottom="4.72" header="0.39" footer="0.39"/>
  <pageSetup paperSize="9" fitToWidth="0" fitToHeight="0" orientation="portrait"/>
  <headerFooter>
    <oddFooter>&amp;L&amp;K000000&amp;"Arial"&amp;10 Health expenditure series. Geneva: World Health Organization (latest updates and more information on countries are available at: http://apps.who.int/nha/database/DataExplorerRegime.aspx). All the indicators refer to expenditures by 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6"/>
  <sheetViews>
    <sheetView workbookViewId="0">
      <selection activeCell="H46" sqref="H46"/>
    </sheetView>
  </sheetViews>
  <sheetFormatPr baseColWidth="10" defaultRowHeight="15" x14ac:dyDescent="0.25"/>
  <cols>
    <col min="1" max="1" width="39.5703125" style="111" customWidth="1"/>
    <col min="2" max="2" width="22.5703125" style="111" bestFit="1" customWidth="1"/>
    <col min="3" max="3" width="52.42578125" style="111" hidden="1" customWidth="1"/>
    <col min="4" max="4" width="18.7109375" style="111" bestFit="1" customWidth="1"/>
    <col min="5" max="5" width="44.5703125" style="111" customWidth="1"/>
    <col min="6" max="6" width="1.7109375" style="111" customWidth="1"/>
    <col min="7" max="7" width="16.140625" style="111" bestFit="1" customWidth="1"/>
    <col min="8" max="8" width="16.28515625" style="111" bestFit="1" customWidth="1"/>
    <col min="9" max="9" width="20" style="111" bestFit="1" customWidth="1"/>
    <col min="10" max="10" width="18.85546875" style="111" bestFit="1" customWidth="1"/>
    <col min="11" max="11" width="15.140625" style="111" bestFit="1" customWidth="1"/>
    <col min="12" max="12" width="13.7109375" style="111" bestFit="1" customWidth="1"/>
    <col min="13" max="13" width="12.28515625" style="111" bestFit="1" customWidth="1"/>
    <col min="14" max="14" width="16.28515625" style="111" bestFit="1" customWidth="1"/>
    <col min="15" max="16384" width="11.42578125" style="111"/>
  </cols>
  <sheetData>
    <row r="1" spans="1:7" x14ac:dyDescent="0.25">
      <c r="A1" s="110"/>
      <c r="B1" s="123">
        <v>2014</v>
      </c>
      <c r="C1" s="123" t="s">
        <v>89</v>
      </c>
      <c r="D1" s="123">
        <v>2023</v>
      </c>
      <c r="E1" s="123" t="s">
        <v>89</v>
      </c>
      <c r="G1" s="111" t="s">
        <v>122</v>
      </c>
    </row>
    <row r="2" spans="1:7" x14ac:dyDescent="0.25">
      <c r="A2" s="125" t="s">
        <v>63</v>
      </c>
      <c r="B2" s="126">
        <v>17300000</v>
      </c>
      <c r="C2" s="126"/>
      <c r="D2" s="126">
        <v>22680000</v>
      </c>
      <c r="E2" s="126"/>
    </row>
    <row r="3" spans="1:7" x14ac:dyDescent="0.25">
      <c r="A3" s="125" t="s">
        <v>84</v>
      </c>
      <c r="B3" s="126"/>
      <c r="C3" s="126"/>
      <c r="D3" s="127">
        <f>(D2-B2)/B2</f>
        <v>0.31098265895953758</v>
      </c>
      <c r="E3" s="127"/>
    </row>
    <row r="4" spans="1:7" x14ac:dyDescent="0.25">
      <c r="A4" s="125" t="s">
        <v>88</v>
      </c>
      <c r="B4" s="126">
        <f>56.2%*B5</f>
        <v>240353912000.00003</v>
      </c>
      <c r="C4" s="126" t="s">
        <v>121</v>
      </c>
      <c r="D4" s="126">
        <f>14%*1386540000000*2</f>
        <v>388231200000.00006</v>
      </c>
      <c r="E4" s="125" t="s">
        <v>87</v>
      </c>
      <c r="G4" s="145"/>
    </row>
    <row r="5" spans="1:7" x14ac:dyDescent="0.25">
      <c r="A5" s="125" t="s">
        <v>113</v>
      </c>
      <c r="B5" s="126">
        <v>427676000000</v>
      </c>
      <c r="C5" s="126" t="s">
        <v>121</v>
      </c>
      <c r="D5" s="126">
        <f>D19*500*D2</f>
        <v>793800000000</v>
      </c>
      <c r="E5" s="125" t="s">
        <v>114</v>
      </c>
    </row>
    <row r="6" spans="1:7" x14ac:dyDescent="0.25">
      <c r="A6" s="114" t="s">
        <v>91</v>
      </c>
      <c r="B6" s="128"/>
      <c r="C6" s="128"/>
      <c r="D6" s="128"/>
      <c r="E6" s="114"/>
    </row>
    <row r="7" spans="1:7" x14ac:dyDescent="0.25">
      <c r="A7" s="113" t="s">
        <v>92</v>
      </c>
      <c r="B7" s="117">
        <f>'CRM 2016'!F3</f>
        <v>6896659665</v>
      </c>
      <c r="C7" s="117"/>
      <c r="D7" s="117">
        <f>(B7-'Gratuités 2016'!C7)*1.24</f>
        <v>7283655939.1999998</v>
      </c>
      <c r="E7" s="117" t="s">
        <v>94</v>
      </c>
      <c r="G7" s="147">
        <f>D7/('Projection AMU'!P9*1000000000)</f>
        <v>5.2531069071730411E-3</v>
      </c>
    </row>
    <row r="8" spans="1:7" x14ac:dyDescent="0.25">
      <c r="A8" s="113" t="s">
        <v>93</v>
      </c>
      <c r="B8" s="118">
        <f>B7/B4</f>
        <v>2.8693769149053829E-2</v>
      </c>
      <c r="C8" s="118"/>
      <c r="D8" s="118">
        <f>D7/D5</f>
        <v>9.1756814552784068E-3</v>
      </c>
      <c r="E8" s="118"/>
    </row>
    <row r="9" spans="1:7" x14ac:dyDescent="0.25">
      <c r="A9" s="113" t="s">
        <v>77</v>
      </c>
      <c r="B9" s="119">
        <f>'CRM 2016'!B3:E3</f>
        <v>1032388000</v>
      </c>
      <c r="C9" s="119"/>
      <c r="D9" s="121">
        <f>'Ressource - dépenses et gap AMU'!K12+'CRM 2016'!D3*1.24</f>
        <v>53257350598.252388</v>
      </c>
      <c r="E9" s="121" t="s">
        <v>95</v>
      </c>
    </row>
    <row r="10" spans="1:7" x14ac:dyDescent="0.25">
      <c r="A10" s="113" t="s">
        <v>85</v>
      </c>
      <c r="B10" s="118">
        <f>B9/B4</f>
        <v>4.295282699621714E-3</v>
      </c>
      <c r="C10" s="118"/>
      <c r="D10" s="118">
        <f>D9/D5</f>
        <v>6.7091648523875516E-2</v>
      </c>
      <c r="E10" s="118"/>
    </row>
    <row r="11" spans="1:7" x14ac:dyDescent="0.25">
      <c r="A11" s="113" t="s">
        <v>75</v>
      </c>
      <c r="B11" s="115"/>
      <c r="C11" s="120"/>
      <c r="D11" s="112">
        <f>'Ressource - dépenses et gap AMU'!K9+'Ressource - dépenses et gap AMU'!K7-'CRM 2016'!D3*1.24</f>
        <v>20102392844.591698</v>
      </c>
      <c r="E11" s="110" t="s">
        <v>193</v>
      </c>
    </row>
    <row r="12" spans="1:7" x14ac:dyDescent="0.25">
      <c r="A12" s="114" t="s">
        <v>116</v>
      </c>
      <c r="B12" s="143"/>
      <c r="C12" s="143"/>
      <c r="D12" s="128"/>
      <c r="E12" s="114"/>
    </row>
    <row r="13" spans="1:7" x14ac:dyDescent="0.25">
      <c r="A13" s="114"/>
      <c r="B13" s="143">
        <v>2014</v>
      </c>
      <c r="C13" s="143"/>
      <c r="D13" s="128" t="s">
        <v>125</v>
      </c>
      <c r="E13" s="114"/>
    </row>
    <row r="14" spans="1:7" x14ac:dyDescent="0.25">
      <c r="A14" s="124" t="s">
        <v>73</v>
      </c>
      <c r="B14" s="141">
        <v>0.47</v>
      </c>
      <c r="C14" s="141"/>
      <c r="D14" s="141">
        <f>100%-D15-D17-D18-D16</f>
        <v>0.51945390370206357</v>
      </c>
      <c r="E14" s="124" t="s">
        <v>86</v>
      </c>
    </row>
    <row r="15" spans="1:7" x14ac:dyDescent="0.25">
      <c r="A15" s="124" t="s">
        <v>74</v>
      </c>
      <c r="B15" s="141">
        <v>0.05</v>
      </c>
      <c r="C15" s="141"/>
      <c r="D15" s="141">
        <f>D8+D10</f>
        <v>7.6267329979153919E-2</v>
      </c>
      <c r="E15" s="141" t="s">
        <v>118</v>
      </c>
      <c r="G15" s="146"/>
    </row>
    <row r="16" spans="1:7" x14ac:dyDescent="0.25">
      <c r="A16" s="124" t="s">
        <v>76</v>
      </c>
      <c r="B16" s="142">
        <v>0.44950000000000001</v>
      </c>
      <c r="C16" s="142"/>
      <c r="D16" s="141">
        <v>0.35</v>
      </c>
      <c r="E16" s="124" t="s">
        <v>119</v>
      </c>
    </row>
    <row r="17" spans="1:7" x14ac:dyDescent="0.25">
      <c r="A17" s="124" t="s">
        <v>75</v>
      </c>
      <c r="B17" s="148">
        <f>2585510000/B5</f>
        <v>6.04548770564633E-3</v>
      </c>
      <c r="C17" s="142"/>
      <c r="D17" s="141">
        <f>D11/D5</f>
        <v>2.5324254024428946E-2</v>
      </c>
      <c r="E17" s="141" t="s">
        <v>118</v>
      </c>
    </row>
    <row r="18" spans="1:7" x14ac:dyDescent="0.25">
      <c r="A18" s="124" t="s">
        <v>123</v>
      </c>
      <c r="B18" s="142">
        <f>3.5%-B17</f>
        <v>2.8954512294353675E-2</v>
      </c>
      <c r="C18" s="142"/>
      <c r="D18" s="141">
        <f>B18</f>
        <v>2.8954512294353675E-2</v>
      </c>
      <c r="E18" s="141" t="s">
        <v>124</v>
      </c>
      <c r="G18" s="147"/>
    </row>
    <row r="19" spans="1:7" x14ac:dyDescent="0.25">
      <c r="A19" s="113" t="s">
        <v>90</v>
      </c>
      <c r="B19" s="144">
        <v>49.2</v>
      </c>
      <c r="C19" s="110" t="s">
        <v>112</v>
      </c>
      <c r="D19" s="116">
        <v>70</v>
      </c>
      <c r="E19" s="116" t="s">
        <v>195</v>
      </c>
    </row>
    <row r="20" spans="1:7" x14ac:dyDescent="0.25">
      <c r="A20" s="137" t="s">
        <v>115</v>
      </c>
      <c r="B20" s="138"/>
      <c r="C20" s="138"/>
      <c r="D20" s="139">
        <f>4.14/(14*2)</f>
        <v>0.14785714285714285</v>
      </c>
      <c r="E20" s="140" t="s">
        <v>117</v>
      </c>
    </row>
    <row r="21" spans="1:7" x14ac:dyDescent="0.25">
      <c r="B21" s="145"/>
      <c r="D21" s="233">
        <f>D15/D14</f>
        <v>0.14682213269668212</v>
      </c>
      <c r="E21" s="111" t="s">
        <v>196</v>
      </c>
    </row>
    <row r="22" spans="1:7" x14ac:dyDescent="0.25">
      <c r="A22" s="122" t="s">
        <v>197</v>
      </c>
    </row>
    <row r="23" spans="1:7" x14ac:dyDescent="0.25">
      <c r="A23" s="122" t="s">
        <v>198</v>
      </c>
    </row>
    <row r="24" spans="1:7" x14ac:dyDescent="0.25">
      <c r="A24" s="122" t="s">
        <v>199</v>
      </c>
    </row>
    <row r="25" spans="1:7" x14ac:dyDescent="0.25">
      <c r="A25" s="122" t="s">
        <v>120</v>
      </c>
    </row>
    <row r="26" spans="1:7" x14ac:dyDescent="0.25">
      <c r="A26" s="231" t="s">
        <v>194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C8" sqref="C8"/>
    </sheetView>
  </sheetViews>
  <sheetFormatPr baseColWidth="10" defaultRowHeight="15" x14ac:dyDescent="0.25"/>
  <cols>
    <col min="1" max="1" width="59.7109375" bestFit="1" customWidth="1"/>
    <col min="2" max="2" width="16.28515625" bestFit="1" customWidth="1"/>
  </cols>
  <sheetData>
    <row r="1" spans="1:3" ht="15.75" thickBot="1" x14ac:dyDescent="0.3"/>
    <row r="2" spans="1:3" x14ac:dyDescent="0.25">
      <c r="A2" s="21" t="s">
        <v>39</v>
      </c>
      <c r="B2" s="226">
        <v>4.8000000000000001E-2</v>
      </c>
      <c r="C2" t="s">
        <v>87</v>
      </c>
    </row>
    <row r="3" spans="1:3" x14ac:dyDescent="0.25">
      <c r="A3" s="22" t="s">
        <v>185</v>
      </c>
      <c r="B3" s="170">
        <v>3.5999999999999997E-2</v>
      </c>
    </row>
    <row r="4" spans="1:3" x14ac:dyDescent="0.25">
      <c r="A4" s="22" t="str">
        <f>'Population &amp; évolution coût AMU'!B3</f>
        <v>évolution secteur formel / an</v>
      </c>
      <c r="B4" s="171">
        <v>0</v>
      </c>
    </row>
    <row r="5" spans="1:3" x14ac:dyDescent="0.25">
      <c r="A5" s="22" t="str">
        <f>'Population &amp; évolution coût AMU'!B4</f>
        <v>évolution extrême pauvreté</v>
      </c>
      <c r="B5" s="171">
        <v>0</v>
      </c>
    </row>
    <row r="6" spans="1:3" x14ac:dyDescent="0.25">
      <c r="A6" s="22" t="s">
        <v>8</v>
      </c>
      <c r="B6" s="172">
        <v>0.03</v>
      </c>
    </row>
    <row r="7" spans="1:3" x14ac:dyDescent="0.25">
      <c r="A7" s="22" t="s">
        <v>35</v>
      </c>
      <c r="B7" s="172">
        <v>0.03</v>
      </c>
    </row>
    <row r="8" spans="1:3" x14ac:dyDescent="0.25">
      <c r="A8" s="22" t="s">
        <v>34</v>
      </c>
      <c r="B8" s="23">
        <f>100%-B12-B10</f>
        <v>0.77999999999999992</v>
      </c>
    </row>
    <row r="9" spans="1:3" x14ac:dyDescent="0.25">
      <c r="A9" s="22" t="s">
        <v>36</v>
      </c>
      <c r="B9" s="56">
        <f>B11</f>
        <v>6600</v>
      </c>
    </row>
    <row r="10" spans="1:3" x14ac:dyDescent="0.25">
      <c r="A10" s="22" t="s">
        <v>33</v>
      </c>
      <c r="B10" s="57">
        <v>0.17</v>
      </c>
    </row>
    <row r="11" spans="1:3" x14ac:dyDescent="0.25">
      <c r="A11" s="175" t="s">
        <v>174</v>
      </c>
      <c r="B11" s="173">
        <f>6600</f>
        <v>6600</v>
      </c>
    </row>
    <row r="12" spans="1:3" x14ac:dyDescent="0.25">
      <c r="A12" s="175" t="s">
        <v>40</v>
      </c>
      <c r="B12" s="174">
        <v>0.05</v>
      </c>
    </row>
    <row r="13" spans="1:3" x14ac:dyDescent="0.25">
      <c r="A13" s="175" t="s">
        <v>52</v>
      </c>
      <c r="B13" s="174">
        <v>0.8</v>
      </c>
    </row>
    <row r="14" spans="1:3" x14ac:dyDescent="0.25">
      <c r="A14" s="92" t="s">
        <v>37</v>
      </c>
      <c r="B14" s="91">
        <f>B9*(1-B13)</f>
        <v>1319.9999999999998</v>
      </c>
    </row>
    <row r="15" spans="1:3" x14ac:dyDescent="0.25">
      <c r="A15" s="92" t="s">
        <v>180</v>
      </c>
      <c r="B15" s="225">
        <f>'Population &amp; évolution coût AMU'!R18</f>
        <v>0.59304957964945637</v>
      </c>
      <c r="C15" t="s">
        <v>183</v>
      </c>
    </row>
    <row r="16" spans="1:3" x14ac:dyDescent="0.25">
      <c r="A16" s="92" t="s">
        <v>181</v>
      </c>
      <c r="B16" s="178">
        <v>1</v>
      </c>
    </row>
    <row r="17" spans="1:3" x14ac:dyDescent="0.25">
      <c r="A17" s="92" t="s">
        <v>182</v>
      </c>
      <c r="B17" s="178">
        <v>0.21</v>
      </c>
    </row>
    <row r="18" spans="1:3" x14ac:dyDescent="0.25">
      <c r="A18" s="24" t="s">
        <v>44</v>
      </c>
      <c r="B18" s="176">
        <f>'Projection AMU'!AB7</f>
        <v>0.31461842854040761</v>
      </c>
    </row>
    <row r="19" spans="1:3" ht="15.75" thickBot="1" x14ac:dyDescent="0.3">
      <c r="A19" s="25" t="s">
        <v>45</v>
      </c>
      <c r="B19" s="177">
        <f>'Ressource - dépenses et gap AMU'!Q14</f>
        <v>8.3862604947030697E-3</v>
      </c>
    </row>
    <row r="20" spans="1:3" x14ac:dyDescent="0.25">
      <c r="A20" s="27"/>
      <c r="B20" s="40"/>
    </row>
    <row r="21" spans="1:3" x14ac:dyDescent="0.25">
      <c r="A21" t="s">
        <v>184</v>
      </c>
      <c r="B21" s="40"/>
    </row>
    <row r="22" spans="1:3" x14ac:dyDescent="0.25">
      <c r="A22" s="40"/>
      <c r="B22" s="58"/>
      <c r="C22" s="40"/>
    </row>
    <row r="23" spans="1:3" x14ac:dyDescent="0.25">
      <c r="A23" s="40"/>
      <c r="B23" s="58"/>
      <c r="C23" s="40"/>
    </row>
    <row r="24" spans="1:3" x14ac:dyDescent="0.25">
      <c r="A24" s="59"/>
      <c r="B24" s="58"/>
      <c r="C24" s="40"/>
    </row>
    <row r="25" spans="1:3" x14ac:dyDescent="0.25">
      <c r="A25" s="40"/>
      <c r="B25" s="60"/>
      <c r="C25" s="40"/>
    </row>
    <row r="26" spans="1:3" x14ac:dyDescent="0.25">
      <c r="A26" s="40"/>
      <c r="B26" s="58"/>
      <c r="C26" s="40"/>
    </row>
    <row r="27" spans="1:3" x14ac:dyDescent="0.25">
      <c r="A27" s="40"/>
      <c r="B27" s="40"/>
      <c r="C27" s="40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1"/>
  <dimension ref="B1:AE32"/>
  <sheetViews>
    <sheetView topLeftCell="B5" zoomScaleNormal="100" workbookViewId="0">
      <selection activeCell="G15" sqref="G15"/>
    </sheetView>
  </sheetViews>
  <sheetFormatPr baseColWidth="10" defaultRowHeight="15" x14ac:dyDescent="0.25"/>
  <cols>
    <col min="1" max="1" width="2.5703125" customWidth="1"/>
    <col min="2" max="2" width="29.85546875" customWidth="1"/>
    <col min="3" max="3" width="14.28515625" bestFit="1" customWidth="1"/>
    <col min="4" max="4" width="5.5703125" bestFit="1" customWidth="1"/>
    <col min="5" max="5" width="12.7109375" bestFit="1" customWidth="1"/>
    <col min="6" max="6" width="5.5703125" bestFit="1" customWidth="1"/>
    <col min="7" max="7" width="12.7109375" bestFit="1" customWidth="1"/>
    <col min="8" max="8" width="4.5703125" bestFit="1" customWidth="1"/>
    <col min="9" max="9" width="12.7109375" bestFit="1" customWidth="1"/>
    <col min="10" max="10" width="5.5703125" bestFit="1" customWidth="1"/>
    <col min="11" max="11" width="12.7109375" bestFit="1" customWidth="1"/>
    <col min="12" max="12" width="5.5703125" bestFit="1" customWidth="1"/>
    <col min="13" max="13" width="12.7109375" bestFit="1" customWidth="1"/>
    <col min="14" max="14" width="5.5703125" bestFit="1" customWidth="1"/>
    <col min="15" max="15" width="12.7109375" bestFit="1" customWidth="1"/>
    <col min="16" max="16" width="5.5703125" bestFit="1" customWidth="1"/>
    <col min="17" max="17" width="12.7109375" bestFit="1" customWidth="1"/>
    <col min="18" max="18" width="5.5703125" bestFit="1" customWidth="1"/>
    <col min="19" max="19" width="12.7109375" bestFit="1" customWidth="1"/>
    <col min="20" max="20" width="0" hidden="1" customWidth="1"/>
    <col min="21" max="21" width="12.7109375" hidden="1" customWidth="1"/>
    <col min="22" max="22" width="0" hidden="1" customWidth="1"/>
    <col min="23" max="23" width="12.7109375" hidden="1" customWidth="1"/>
    <col min="24" max="24" width="0" hidden="1" customWidth="1"/>
    <col min="25" max="25" width="12.7109375" hidden="1" customWidth="1"/>
    <col min="26" max="26" width="0" hidden="1" customWidth="1"/>
    <col min="27" max="27" width="12.7109375" hidden="1" customWidth="1"/>
    <col min="28" max="28" width="0" hidden="1" customWidth="1"/>
    <col min="29" max="29" width="12.7109375" hidden="1" customWidth="1"/>
    <col min="30" max="30" width="0" hidden="1" customWidth="1"/>
    <col min="31" max="31" width="12.7109375" hidden="1" customWidth="1"/>
  </cols>
  <sheetData>
    <row r="1" spans="2:31" hidden="1" x14ac:dyDescent="0.25"/>
    <row r="2" spans="2:31" hidden="1" x14ac:dyDescent="0.25">
      <c r="B2" s="2" t="s">
        <v>4</v>
      </c>
      <c r="C2" s="53">
        <f>'Hypothèse AMU'!B3</f>
        <v>3.5999999999999997E-2</v>
      </c>
      <c r="G2" s="61"/>
    </row>
    <row r="3" spans="2:31" hidden="1" x14ac:dyDescent="0.25">
      <c r="B3" s="2" t="s">
        <v>5</v>
      </c>
      <c r="C3" s="53">
        <f>'Hypothèse AMU'!B4</f>
        <v>0</v>
      </c>
    </row>
    <row r="4" spans="2:31" hidden="1" x14ac:dyDescent="0.25">
      <c r="B4" s="2" t="s">
        <v>6</v>
      </c>
      <c r="C4" s="53">
        <f>'Hypothèse AMU'!B5</f>
        <v>0</v>
      </c>
    </row>
    <row r="5" spans="2:31" ht="7.5" customHeight="1" x14ac:dyDescent="0.25">
      <c r="C5" s="1"/>
    </row>
    <row r="6" spans="2:31" x14ac:dyDescent="0.25">
      <c r="B6" s="7" t="s">
        <v>10</v>
      </c>
      <c r="C6" s="2"/>
      <c r="D6" s="196">
        <v>2016</v>
      </c>
      <c r="E6" s="196"/>
      <c r="F6" s="196">
        <v>2017</v>
      </c>
      <c r="G6" s="196"/>
      <c r="H6" s="196">
        <v>2018</v>
      </c>
      <c r="I6" s="196"/>
      <c r="J6" s="196">
        <v>2019</v>
      </c>
      <c r="K6" s="196"/>
      <c r="L6" s="196">
        <v>2020</v>
      </c>
      <c r="M6" s="196"/>
      <c r="N6" s="196">
        <v>2021</v>
      </c>
      <c r="O6" s="196"/>
      <c r="P6" s="196">
        <v>2022</v>
      </c>
      <c r="Q6" s="196"/>
      <c r="R6" s="196">
        <v>2023</v>
      </c>
      <c r="S6" s="196"/>
      <c r="T6" s="196">
        <v>2024</v>
      </c>
      <c r="U6" s="196"/>
      <c r="V6" s="196">
        <v>2025</v>
      </c>
      <c r="W6" s="196"/>
      <c r="X6" s="196">
        <v>2026</v>
      </c>
      <c r="Y6" s="196"/>
      <c r="Z6" s="196">
        <v>2027</v>
      </c>
      <c r="AA6" s="196"/>
      <c r="AB6" s="196">
        <v>2028</v>
      </c>
      <c r="AC6" s="196"/>
      <c r="AD6" s="196">
        <v>2029</v>
      </c>
      <c r="AE6" s="196"/>
    </row>
    <row r="7" spans="2:31" x14ac:dyDescent="0.25">
      <c r="B7" s="197" t="s">
        <v>7</v>
      </c>
      <c r="C7" s="197"/>
      <c r="D7" s="3"/>
      <c r="E7" s="18">
        <v>18343000</v>
      </c>
      <c r="F7" s="3"/>
      <c r="G7" s="4">
        <f>E7*(1+$C$2)</f>
        <v>19003348</v>
      </c>
      <c r="H7" s="3"/>
      <c r="I7" s="4">
        <f>G7*(1+$C$2)</f>
        <v>19687468.528000001</v>
      </c>
      <c r="J7" s="3"/>
      <c r="K7" s="4">
        <f>I7*(1+$C$2)</f>
        <v>20396217.395008001</v>
      </c>
      <c r="L7" s="3"/>
      <c r="M7" s="4">
        <f>K7*(1+$C$2)</f>
        <v>21130481.22122829</v>
      </c>
      <c r="N7" s="3"/>
      <c r="O7" s="4">
        <f>M7*(1+$C$2)</f>
        <v>21891178.54519251</v>
      </c>
      <c r="P7" s="3"/>
      <c r="Q7" s="4">
        <f>O7*(1+$C$2)</f>
        <v>22679260.97281944</v>
      </c>
      <c r="R7" s="3"/>
      <c r="S7" s="4">
        <f>Q7*(1+$C$2)</f>
        <v>23495714.367840942</v>
      </c>
      <c r="T7" s="30"/>
      <c r="U7" s="31">
        <f t="shared" ref="U7" si="0">S7*(1+$C$2)</f>
        <v>24341560.085083216</v>
      </c>
      <c r="V7" s="30"/>
      <c r="W7" s="31">
        <f t="shared" ref="W7" si="1">U7*(1+$C$2)</f>
        <v>25217856.248146214</v>
      </c>
      <c r="X7" s="30"/>
      <c r="Y7" s="31">
        <f t="shared" ref="Y7" si="2">W7*(1+$C$2)</f>
        <v>26125699.073079478</v>
      </c>
      <c r="Z7" s="52"/>
      <c r="AA7" s="31">
        <f t="shared" ref="AA7" si="3">Y7*(1+$C$2)</f>
        <v>27066224.239710338</v>
      </c>
      <c r="AB7" s="52"/>
      <c r="AC7" s="31">
        <f t="shared" ref="AC7" si="4">AA7*(1+$C$2)</f>
        <v>28040608.312339913</v>
      </c>
      <c r="AD7" s="52"/>
      <c r="AE7" s="31">
        <f t="shared" ref="AE7" si="5">AC7*(1+$C$2)</f>
        <v>29050070.211584151</v>
      </c>
    </row>
    <row r="8" spans="2:31" x14ac:dyDescent="0.25">
      <c r="B8" s="197" t="s">
        <v>0</v>
      </c>
      <c r="C8" s="197"/>
      <c r="D8" s="9">
        <f>'Hypothèse AMU'!B10</f>
        <v>0.17</v>
      </c>
      <c r="E8" s="5">
        <f>D8*$E$7</f>
        <v>3118310</v>
      </c>
      <c r="F8" s="6">
        <f>D8*(1+$C$3)</f>
        <v>0.17</v>
      </c>
      <c r="G8" s="5">
        <f>G$7*F8</f>
        <v>3230569.16</v>
      </c>
      <c r="H8" s="6">
        <f>F8*(1+$C$3)</f>
        <v>0.17</v>
      </c>
      <c r="I8" s="5">
        <f>I$7*H8</f>
        <v>3346869.6497600004</v>
      </c>
      <c r="J8" s="6">
        <f>H8*(1+$C$3)</f>
        <v>0.17</v>
      </c>
      <c r="K8" s="5">
        <f>K$7*J8</f>
        <v>3467356.9571513603</v>
      </c>
      <c r="L8" s="6">
        <f>J8*(1+$C$3)</f>
        <v>0.17</v>
      </c>
      <c r="M8" s="5">
        <f>M$7*L8</f>
        <v>3592181.8076088098</v>
      </c>
      <c r="N8" s="6">
        <f>L8*(1+$C$3)</f>
        <v>0.17</v>
      </c>
      <c r="O8" s="5">
        <f>O$7*N8</f>
        <v>3721500.3526827269</v>
      </c>
      <c r="P8" s="6">
        <f>N8*(1+$C$3)</f>
        <v>0.17</v>
      </c>
      <c r="Q8" s="5">
        <f>Q$7*P8</f>
        <v>3855474.3653793051</v>
      </c>
      <c r="R8" s="6">
        <f>P8*(1+$C$3)</f>
        <v>0.17</v>
      </c>
      <c r="S8" s="5">
        <f>S$7*R8</f>
        <v>3994271.4425329603</v>
      </c>
      <c r="T8" s="32">
        <f t="shared" ref="T8" si="6">R8*(1+$C$3)</f>
        <v>0.17</v>
      </c>
      <c r="U8" s="33">
        <f t="shared" ref="U8:U10" si="7">U$7*T8</f>
        <v>4138065.2144641471</v>
      </c>
      <c r="V8" s="32">
        <f t="shared" ref="V8" si="8">T8*(1+$C$3)</f>
        <v>0.17</v>
      </c>
      <c r="W8" s="33">
        <f t="shared" ref="W8:W10" si="9">W$7*V8</f>
        <v>4287035.5621848563</v>
      </c>
      <c r="X8" s="32">
        <f t="shared" ref="X8" si="10">V8*(1+$C$3)</f>
        <v>0.17</v>
      </c>
      <c r="Y8" s="33">
        <f t="shared" ref="Y8:Y10" si="11">Y$7*X8</f>
        <v>4441368.8424235117</v>
      </c>
      <c r="Z8" s="32">
        <f t="shared" ref="Z8" si="12">X8*(1+$C$3)</f>
        <v>0.17</v>
      </c>
      <c r="AA8" s="33">
        <f t="shared" ref="AA8:AA10" si="13">AA$7*Z8</f>
        <v>4601258.1207507579</v>
      </c>
      <c r="AB8" s="32">
        <f t="shared" ref="AB8" si="14">Z8*(1+$C$3)</f>
        <v>0.17</v>
      </c>
      <c r="AC8" s="33">
        <f t="shared" ref="AC8:AC10" si="15">AC$7*AB8</f>
        <v>4766903.4130977858</v>
      </c>
      <c r="AD8" s="32">
        <f t="shared" ref="AD8" si="16">AB8*(1+$C$3)</f>
        <v>0.17</v>
      </c>
      <c r="AE8" s="33">
        <f t="shared" ref="AE8:AE10" si="17">AE$7*AD8</f>
        <v>4938511.9359693062</v>
      </c>
    </row>
    <row r="9" spans="2:31" x14ac:dyDescent="0.25">
      <c r="B9" s="2" t="s">
        <v>1</v>
      </c>
      <c r="C9" s="2" t="s">
        <v>2</v>
      </c>
      <c r="D9" s="9">
        <f>'Hypothèse AMU'!B12</f>
        <v>0.05</v>
      </c>
      <c r="E9" s="5">
        <f>D9*$E$7</f>
        <v>917150</v>
      </c>
      <c r="F9" s="6">
        <f>D9*(1+$C$4)</f>
        <v>0.05</v>
      </c>
      <c r="G9" s="5">
        <f t="shared" ref="G9:I10" si="18">G$7*F9</f>
        <v>950167.4</v>
      </c>
      <c r="H9" s="6">
        <f>F9*(1+$C$4)</f>
        <v>0.05</v>
      </c>
      <c r="I9" s="5">
        <f t="shared" si="18"/>
        <v>984373.42640000011</v>
      </c>
      <c r="J9" s="6">
        <f>H9*(1+$C$4)</f>
        <v>0.05</v>
      </c>
      <c r="K9" s="5">
        <f t="shared" ref="K9" si="19">K$7*J9</f>
        <v>1019810.8697504001</v>
      </c>
      <c r="L9" s="6">
        <f>J9*(1+$C$4)</f>
        <v>0.05</v>
      </c>
      <c r="M9" s="5">
        <f t="shared" ref="M9" si="20">M$7*L9</f>
        <v>1056524.0610614147</v>
      </c>
      <c r="N9" s="6">
        <f>L9*(1+$C$4)</f>
        <v>0.05</v>
      </c>
      <c r="O9" s="5">
        <f t="shared" ref="O9" si="21">O$7*N9</f>
        <v>1094558.9272596256</v>
      </c>
      <c r="P9" s="6">
        <f>N9*(1+$C$4)</f>
        <v>0.05</v>
      </c>
      <c r="Q9" s="5">
        <f t="shared" ref="Q9" si="22">Q$7*P9</f>
        <v>1133963.048640972</v>
      </c>
      <c r="R9" s="6">
        <f>P9*(1+$C$4)</f>
        <v>0.05</v>
      </c>
      <c r="S9" s="5">
        <f t="shared" ref="S9" si="23">S$7*R9</f>
        <v>1174785.7183920471</v>
      </c>
      <c r="T9" s="32">
        <f t="shared" ref="T9" si="24">R9*(1+$C$4)</f>
        <v>0.05</v>
      </c>
      <c r="U9" s="33">
        <f t="shared" si="7"/>
        <v>1217078.0042541609</v>
      </c>
      <c r="V9" s="32">
        <f t="shared" ref="V9" si="25">T9*(1+$C$4)</f>
        <v>0.05</v>
      </c>
      <c r="W9" s="33">
        <f t="shared" si="9"/>
        <v>1260892.8124073108</v>
      </c>
      <c r="X9" s="32">
        <f t="shared" ref="X9" si="26">V9*(1+$C$4)</f>
        <v>0.05</v>
      </c>
      <c r="Y9" s="33">
        <f t="shared" si="11"/>
        <v>1306284.953653974</v>
      </c>
      <c r="Z9" s="32">
        <f t="shared" ref="Z9" si="27">X9*(1+$C$4)</f>
        <v>0.05</v>
      </c>
      <c r="AA9" s="33">
        <f t="shared" si="13"/>
        <v>1353311.2119855171</v>
      </c>
      <c r="AB9" s="32">
        <f t="shared" ref="AB9" si="28">Z9*(1+$C$4)</f>
        <v>0.05</v>
      </c>
      <c r="AC9" s="33">
        <f t="shared" si="15"/>
        <v>1402030.4156169957</v>
      </c>
      <c r="AD9" s="32">
        <f t="shared" ref="AD9" si="29">AB9*(1+$C$4)</f>
        <v>0.05</v>
      </c>
      <c r="AE9" s="33">
        <f t="shared" si="17"/>
        <v>1452503.5105792077</v>
      </c>
    </row>
    <row r="10" spans="2:31" x14ac:dyDescent="0.25">
      <c r="B10" s="2"/>
      <c r="C10" s="2" t="s">
        <v>3</v>
      </c>
      <c r="D10" s="9">
        <f>'Hypothèse AMU'!B8</f>
        <v>0.77999999999999992</v>
      </c>
      <c r="E10" s="5">
        <f>D10*$E$7</f>
        <v>14307539.999999998</v>
      </c>
      <c r="F10" s="6">
        <f>100%-F8-F9</f>
        <v>0.77999999999999992</v>
      </c>
      <c r="G10" s="5">
        <f t="shared" si="18"/>
        <v>14822611.439999998</v>
      </c>
      <c r="H10" s="6">
        <f>100%-H8-H9</f>
        <v>0.77999999999999992</v>
      </c>
      <c r="I10" s="5">
        <f t="shared" si="18"/>
        <v>15356225.451839998</v>
      </c>
      <c r="J10" s="6">
        <f>100%-J8-J9</f>
        <v>0.77999999999999992</v>
      </c>
      <c r="K10" s="5">
        <f t="shared" ref="K10" si="30">K$7*J10</f>
        <v>15909049.56810624</v>
      </c>
      <c r="L10" s="6">
        <f>100%-L8-L9</f>
        <v>0.77999999999999992</v>
      </c>
      <c r="M10" s="5">
        <f t="shared" ref="M10" si="31">M$7*L10</f>
        <v>16481775.352558065</v>
      </c>
      <c r="N10" s="6">
        <f>100%-N8-N9</f>
        <v>0.77999999999999992</v>
      </c>
      <c r="O10" s="5">
        <f t="shared" ref="O10" si="32">O$7*N10</f>
        <v>17075119.265250158</v>
      </c>
      <c r="P10" s="6">
        <f>100%-P8-P9</f>
        <v>0.77999999999999992</v>
      </c>
      <c r="Q10" s="5">
        <f t="shared" ref="Q10" si="33">Q$7*P10</f>
        <v>17689823.558799163</v>
      </c>
      <c r="R10" s="6">
        <f>100%-R8-R9</f>
        <v>0.77999999999999992</v>
      </c>
      <c r="S10" s="5">
        <f t="shared" ref="S10" si="34">S$7*R10</f>
        <v>18326657.206915934</v>
      </c>
      <c r="T10" s="32">
        <f t="shared" ref="T10" si="35">100%-T8-T9</f>
        <v>0.77999999999999992</v>
      </c>
      <c r="U10" s="33">
        <f t="shared" si="7"/>
        <v>18986416.866364907</v>
      </c>
      <c r="V10" s="32">
        <f t="shared" ref="V10" si="36">100%-V8-V9</f>
        <v>0.77999999999999992</v>
      </c>
      <c r="W10" s="33">
        <f t="shared" si="9"/>
        <v>19669927.873554043</v>
      </c>
      <c r="X10" s="32">
        <f t="shared" ref="X10" si="37">100%-X8-X9</f>
        <v>0.77999999999999992</v>
      </c>
      <c r="Y10" s="33">
        <f t="shared" si="11"/>
        <v>20378045.277001992</v>
      </c>
      <c r="Z10" s="32">
        <f t="shared" ref="Z10:AD10" si="38">100%-Z8-Z9</f>
        <v>0.77999999999999992</v>
      </c>
      <c r="AA10" s="33">
        <f t="shared" si="13"/>
        <v>21111654.906974062</v>
      </c>
      <c r="AB10" s="32">
        <f t="shared" ref="AB10" si="39">100%-AB8-AB9</f>
        <v>0.77999999999999992</v>
      </c>
      <c r="AC10" s="33">
        <f t="shared" si="15"/>
        <v>21871674.483625129</v>
      </c>
      <c r="AD10" s="32">
        <f t="shared" si="38"/>
        <v>0.77999999999999992</v>
      </c>
      <c r="AE10" s="33">
        <f t="shared" si="17"/>
        <v>22659054.765035637</v>
      </c>
    </row>
    <row r="11" spans="2:31" ht="6" customHeight="1" x14ac:dyDescent="0.25">
      <c r="T11" s="34"/>
      <c r="U11" s="34"/>
      <c r="V11" s="34"/>
      <c r="W11" s="34"/>
      <c r="X11" s="34"/>
      <c r="Y11" s="34"/>
    </row>
    <row r="12" spans="2:31" x14ac:dyDescent="0.25">
      <c r="B12" s="194" t="s">
        <v>29</v>
      </c>
      <c r="C12" s="195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35"/>
      <c r="U12" s="35"/>
      <c r="V12" s="35"/>
      <c r="W12" s="35"/>
      <c r="X12" s="35"/>
      <c r="Y12" s="35"/>
    </row>
    <row r="13" spans="2:31" x14ac:dyDescent="0.25">
      <c r="B13" s="2" t="s">
        <v>8</v>
      </c>
      <c r="C13" s="2"/>
      <c r="D13" s="2"/>
      <c r="E13" s="6"/>
      <c r="F13" s="2"/>
      <c r="G13" s="9">
        <f>'Hypothèse AMU'!B6</f>
        <v>0.03</v>
      </c>
      <c r="H13" s="10"/>
      <c r="I13" s="9">
        <f>G13</f>
        <v>0.03</v>
      </c>
      <c r="J13" s="10"/>
      <c r="K13" s="9">
        <f>I13</f>
        <v>0.03</v>
      </c>
      <c r="L13" s="10"/>
      <c r="M13" s="9">
        <f>K13</f>
        <v>0.03</v>
      </c>
      <c r="N13" s="10"/>
      <c r="O13" s="9">
        <f>M13</f>
        <v>0.03</v>
      </c>
      <c r="P13" s="10"/>
      <c r="Q13" s="9">
        <f>O13</f>
        <v>0.03</v>
      </c>
      <c r="R13" s="10"/>
      <c r="S13" s="9">
        <f>Q13</f>
        <v>0.03</v>
      </c>
      <c r="T13" s="36"/>
      <c r="U13" s="37">
        <f t="shared" ref="U13" si="40">S13</f>
        <v>0.03</v>
      </c>
      <c r="V13" s="36"/>
      <c r="W13" s="37">
        <f t="shared" ref="W13" si="41">U13</f>
        <v>0.03</v>
      </c>
      <c r="X13" s="36"/>
      <c r="Y13" s="37">
        <f t="shared" ref="Y13" si="42">W13</f>
        <v>0.03</v>
      </c>
      <c r="Z13" s="36"/>
      <c r="AA13" s="37">
        <f t="shared" ref="AA13:AA14" si="43">Y13</f>
        <v>0.03</v>
      </c>
      <c r="AB13" s="36"/>
      <c r="AC13" s="37">
        <f t="shared" ref="AC13:AC14" si="44">AA13</f>
        <v>0.03</v>
      </c>
      <c r="AD13" s="36"/>
      <c r="AE13" s="37">
        <f t="shared" ref="AE13:AE14" si="45">AC13</f>
        <v>0.03</v>
      </c>
    </row>
    <row r="14" spans="2:31" x14ac:dyDescent="0.25">
      <c r="B14" s="2" t="s">
        <v>9</v>
      </c>
      <c r="C14" s="2"/>
      <c r="D14" s="2"/>
      <c r="E14" s="2"/>
      <c r="F14" s="2"/>
      <c r="G14" s="9">
        <f>'Hypothèse AMU'!B7</f>
        <v>0.03</v>
      </c>
      <c r="H14" s="10"/>
      <c r="I14" s="9">
        <f>G14</f>
        <v>0.03</v>
      </c>
      <c r="J14" s="10"/>
      <c r="K14" s="9">
        <f>I14</f>
        <v>0.03</v>
      </c>
      <c r="L14" s="10"/>
      <c r="M14" s="9">
        <f>K14</f>
        <v>0.03</v>
      </c>
      <c r="N14" s="10"/>
      <c r="O14" s="9">
        <f>M14</f>
        <v>0.03</v>
      </c>
      <c r="P14" s="10"/>
      <c r="Q14" s="9">
        <f>O14</f>
        <v>0.03</v>
      </c>
      <c r="R14" s="10"/>
      <c r="S14" s="9">
        <f>Q14</f>
        <v>0.03</v>
      </c>
      <c r="T14" s="36"/>
      <c r="U14" s="9">
        <f>S14</f>
        <v>0.03</v>
      </c>
      <c r="V14" s="36"/>
      <c r="W14" s="9">
        <f>U14</f>
        <v>0.03</v>
      </c>
      <c r="X14" s="36"/>
      <c r="Y14" s="9">
        <f>W14</f>
        <v>0.03</v>
      </c>
      <c r="Z14" s="36"/>
      <c r="AA14" s="9">
        <f t="shared" si="43"/>
        <v>0.03</v>
      </c>
      <c r="AB14" s="36"/>
      <c r="AC14" s="9">
        <f t="shared" si="44"/>
        <v>0.03</v>
      </c>
      <c r="AD14" s="36"/>
      <c r="AE14" s="9">
        <f t="shared" si="45"/>
        <v>0.03</v>
      </c>
    </row>
    <row r="15" spans="2:31" x14ac:dyDescent="0.25">
      <c r="B15" s="2" t="s">
        <v>25</v>
      </c>
      <c r="C15" s="3" t="s">
        <v>175</v>
      </c>
      <c r="D15" s="2"/>
      <c r="E15" s="55">
        <f>'Hypothèse AMU'!B11</f>
        <v>6600</v>
      </c>
      <c r="F15" s="8"/>
      <c r="G15" s="8">
        <f>E15*(1+G13+G14)</f>
        <v>6996</v>
      </c>
      <c r="H15" s="8"/>
      <c r="I15" s="8">
        <f>G15*(1+I13+I14)</f>
        <v>7415.76</v>
      </c>
      <c r="J15" s="8"/>
      <c r="K15" s="8">
        <f>I15*(1+K13+K14)</f>
        <v>7860.7056000000002</v>
      </c>
      <c r="L15" s="8"/>
      <c r="M15" s="8">
        <f>K15*(1+M13+M14)</f>
        <v>8332.3479360000001</v>
      </c>
      <c r="N15" s="8"/>
      <c r="O15" s="8">
        <f>M15*(1+O13+O14)</f>
        <v>8832.2888121600008</v>
      </c>
      <c r="P15" s="8"/>
      <c r="Q15" s="8">
        <f>O15*(1+Q13+Q14)</f>
        <v>9362.2261408896011</v>
      </c>
      <c r="R15" s="8"/>
      <c r="S15" s="8">
        <f>Q15*(1+S13+S14)</f>
        <v>9923.9597093429784</v>
      </c>
      <c r="T15" s="38"/>
      <c r="U15" s="38">
        <f t="shared" ref="U15" si="46">S15*(1+U13+U14)</f>
        <v>10519.397291903557</v>
      </c>
      <c r="V15" s="38"/>
      <c r="W15" s="38">
        <f t="shared" ref="W15" si="47">U15*(1+W13+W14)</f>
        <v>11150.561129417771</v>
      </c>
      <c r="X15" s="38"/>
      <c r="Y15" s="38">
        <f t="shared" ref="Y15" si="48">W15*(1+Y13+Y14)</f>
        <v>11819.594797182837</v>
      </c>
      <c r="Z15" s="38"/>
      <c r="AA15" s="38">
        <f t="shared" ref="AA15" si="49">Y15*(1+AA13+AA14)</f>
        <v>12528.770485013809</v>
      </c>
      <c r="AB15" s="38"/>
      <c r="AC15" s="38">
        <f t="shared" ref="AC15" si="50">AA15*(1+AC13+AC14)</f>
        <v>13280.496714114639</v>
      </c>
      <c r="AD15" s="38"/>
      <c r="AE15" s="38">
        <f t="shared" ref="AE15" si="51">AC15*(1+AE13+AE14)</f>
        <v>14077.326516961519</v>
      </c>
    </row>
    <row r="16" spans="2:31" ht="7.5" customHeight="1" x14ac:dyDescent="0.25">
      <c r="T16" s="34"/>
      <c r="U16" s="34"/>
      <c r="V16" s="34"/>
      <c r="W16" s="34"/>
      <c r="X16" s="34"/>
      <c r="Y16" s="34"/>
    </row>
    <row r="17" spans="2:31" x14ac:dyDescent="0.25">
      <c r="B17" s="7" t="s">
        <v>14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35"/>
      <c r="U17" s="35"/>
      <c r="V17" s="35"/>
      <c r="W17" s="35"/>
      <c r="X17" s="35"/>
      <c r="Y17" s="35"/>
    </row>
    <row r="18" spans="2:31" x14ac:dyDescent="0.25">
      <c r="B18" s="13" t="s">
        <v>38</v>
      </c>
      <c r="C18" s="2" t="s">
        <v>11</v>
      </c>
      <c r="D18" s="54">
        <f>E18/E8</f>
        <v>0.36668483890312381</v>
      </c>
      <c r="E18" s="5">
        <f>'assurés 2016'!B6</f>
        <v>1143437</v>
      </c>
      <c r="F18" s="224">
        <f>G18/G8</f>
        <v>0.36179414280052125</v>
      </c>
      <c r="G18" s="5">
        <v>1168801</v>
      </c>
      <c r="H18" s="224">
        <f>I18/I8</f>
        <v>0.40897947731491574</v>
      </c>
      <c r="I18" s="5">
        <v>1368801</v>
      </c>
      <c r="J18" s="224">
        <f>K18/K8</f>
        <v>0.45244865740297568</v>
      </c>
      <c r="K18" s="5">
        <v>1568801</v>
      </c>
      <c r="L18" s="224">
        <f>M18/M8</f>
        <v>0.49240297254815985</v>
      </c>
      <c r="M18" s="5">
        <v>1768801</v>
      </c>
      <c r="N18" s="224">
        <f>O18/O8</f>
        <v>0.52903421024285158</v>
      </c>
      <c r="O18" s="5">
        <f>M18+200000</f>
        <v>1968801</v>
      </c>
      <c r="P18" s="224">
        <f>Q18/Q8</f>
        <v>0.56252507330226575</v>
      </c>
      <c r="Q18" s="5">
        <f>O18+200000</f>
        <v>2168801</v>
      </c>
      <c r="R18" s="224">
        <f>S18/S8</f>
        <v>0.59304957964945637</v>
      </c>
      <c r="S18" s="5">
        <f>Q18+200000</f>
        <v>2368801</v>
      </c>
      <c r="T18" s="9">
        <f>'Projection AMU'!R3</f>
        <v>0.59304957964945637</v>
      </c>
      <c r="U18" s="33">
        <f t="shared" ref="U18:U20" si="52">T18*U8</f>
        <v>2454077.8360000001</v>
      </c>
      <c r="V18" s="9">
        <f>'Projection AMU'!T3</f>
        <v>0.59304957964945637</v>
      </c>
      <c r="W18" s="33">
        <f t="shared" ref="W18:W20" si="53">V18*W8</f>
        <v>2542424.6380960001</v>
      </c>
      <c r="X18" s="9">
        <f>'Projection AMU'!V3</f>
        <v>0.59304957964945637</v>
      </c>
      <c r="Y18" s="33">
        <f t="shared" ref="Y18:Y20" si="54">X18*Y8</f>
        <v>2633951.9250674564</v>
      </c>
      <c r="Z18" s="9">
        <f>'Projection AMU'!X3</f>
        <v>0.59304957964945637</v>
      </c>
      <c r="AA18" s="33">
        <f t="shared" ref="AA18:AA20" si="55">Z18*AA8</f>
        <v>2728774.1943698847</v>
      </c>
      <c r="AB18" s="9">
        <f>'Projection AMU'!Z3</f>
        <v>0.59304957964945637</v>
      </c>
      <c r="AC18" s="33">
        <f t="shared" ref="AC18:AC20" si="56">AB18*AC8</f>
        <v>2827010.0653672009</v>
      </c>
      <c r="AD18" s="9">
        <f>'Projection AMU'!AB3</f>
        <v>0.59304957964945637</v>
      </c>
      <c r="AE18" s="33">
        <f t="shared" ref="AE18:AE20" si="57">AD18*AE8</f>
        <v>2928782.4277204201</v>
      </c>
    </row>
    <row r="19" spans="2:31" x14ac:dyDescent="0.25">
      <c r="B19" s="2"/>
      <c r="C19" s="2" t="s">
        <v>12</v>
      </c>
      <c r="D19" s="54">
        <f>E19/E9</f>
        <v>0.14705882352941177</v>
      </c>
      <c r="E19" s="5">
        <f>'assurés 2016'!B4</f>
        <v>134875</v>
      </c>
      <c r="F19" s="9">
        <f t="shared" ref="F19:F20" si="58">(R19-D19)/7+D19</f>
        <v>0.26890756302521007</v>
      </c>
      <c r="G19" s="5">
        <f t="shared" ref="E19:G20" si="59">F19*G9</f>
        <v>255507.19999999998</v>
      </c>
      <c r="H19" s="9">
        <f t="shared" ref="H19:H20" si="60">(R19-F19)/6+F19</f>
        <v>0.3907563025210084</v>
      </c>
      <c r="I19" s="5">
        <f t="shared" ref="I19" si="61">H19*I9</f>
        <v>384650.12040000007</v>
      </c>
      <c r="J19" s="9">
        <f t="shared" ref="J19:J20" si="62">(R19-H19)/5+H19</f>
        <v>0.51260504201680668</v>
      </c>
      <c r="K19" s="5">
        <f t="shared" ref="K19" si="63">J19*K9</f>
        <v>522760.1937376</v>
      </c>
      <c r="L19" s="9">
        <f t="shared" ref="L19:L20" si="64">(R19-J19)/4+J19</f>
        <v>0.63445378151260501</v>
      </c>
      <c r="M19" s="5">
        <f t="shared" ref="M19:O19" si="65">L19*M9</f>
        <v>670315.68579946889</v>
      </c>
      <c r="N19" s="9">
        <f t="shared" ref="N19:N20" si="66">(R19-L19)/3+L19</f>
        <v>0.75630252100840334</v>
      </c>
      <c r="O19" s="5">
        <f t="shared" si="65"/>
        <v>827817.67607870849</v>
      </c>
      <c r="P19" s="9">
        <f t="shared" ref="P19:P20" si="67">(R19-N19)/2+N19</f>
        <v>0.87815126050420167</v>
      </c>
      <c r="Q19" s="5">
        <f t="shared" ref="Q19" si="68">P19*Q9</f>
        <v>995791.08052925696</v>
      </c>
      <c r="R19" s="9">
        <f>'Hypothèse AMU'!B16</f>
        <v>1</v>
      </c>
      <c r="S19" s="5">
        <f t="shared" ref="S19" si="69">R19*S9</f>
        <v>1174785.7183920471</v>
      </c>
      <c r="T19" s="9">
        <f>'Projection AMU'!R4</f>
        <v>1</v>
      </c>
      <c r="U19" s="33">
        <f t="shared" si="52"/>
        <v>1217078.0042541609</v>
      </c>
      <c r="V19" s="9">
        <f>'Projection AMU'!T4</f>
        <v>1</v>
      </c>
      <c r="W19" s="33">
        <f t="shared" si="53"/>
        <v>1260892.8124073108</v>
      </c>
      <c r="X19" s="9">
        <f>'Projection AMU'!V4</f>
        <v>1</v>
      </c>
      <c r="Y19" s="33">
        <f t="shared" si="54"/>
        <v>1306284.953653974</v>
      </c>
      <c r="Z19" s="9">
        <f>'Projection AMU'!X4</f>
        <v>1</v>
      </c>
      <c r="AA19" s="33">
        <f t="shared" si="55"/>
        <v>1353311.2119855171</v>
      </c>
      <c r="AB19" s="9">
        <f>'Projection AMU'!Z4</f>
        <v>1</v>
      </c>
      <c r="AC19" s="33">
        <f t="shared" si="56"/>
        <v>1402030.4156169957</v>
      </c>
      <c r="AD19" s="9">
        <f>'Projection AMU'!AB4</f>
        <v>1</v>
      </c>
      <c r="AE19" s="33">
        <f t="shared" si="57"/>
        <v>1452503.5105792077</v>
      </c>
    </row>
    <row r="20" spans="2:31" x14ac:dyDescent="0.25">
      <c r="B20" s="2"/>
      <c r="C20" s="2" t="s">
        <v>13</v>
      </c>
      <c r="D20" s="234">
        <f>E20/E10</f>
        <v>6.3461538461538472E-2</v>
      </c>
      <c r="E20" s="5">
        <f>'assurés 2016'!B5</f>
        <v>907978.5</v>
      </c>
      <c r="F20" s="9">
        <f t="shared" si="58"/>
        <v>8.4395604395604396E-2</v>
      </c>
      <c r="G20" s="5">
        <f t="shared" si="59"/>
        <v>1250963.2511999998</v>
      </c>
      <c r="H20" s="9">
        <f t="shared" si="60"/>
        <v>0.10532967032967033</v>
      </c>
      <c r="I20" s="5">
        <f t="shared" ref="I20" si="70">H20*I10</f>
        <v>1617466.1643504</v>
      </c>
      <c r="J20" s="9">
        <f t="shared" si="62"/>
        <v>0.12626373626373627</v>
      </c>
      <c r="K20" s="5">
        <f t="shared" ref="K20" si="71">J20*K10</f>
        <v>2008736.0388740737</v>
      </c>
      <c r="L20" s="9">
        <f t="shared" si="64"/>
        <v>0.14719780219780221</v>
      </c>
      <c r="M20" s="5">
        <f t="shared" ref="M20:O20" si="72">L20*M10</f>
        <v>2426081.1082144538</v>
      </c>
      <c r="N20" s="9">
        <f t="shared" si="66"/>
        <v>0.16813186813186815</v>
      </c>
      <c r="O20" s="5">
        <f t="shared" si="72"/>
        <v>2870871.7006409606</v>
      </c>
      <c r="P20" s="9">
        <f t="shared" si="67"/>
        <v>0.18906593406593408</v>
      </c>
      <c r="Q20" s="5">
        <f t="shared" ref="Q20" si="73">P20*Q10</f>
        <v>3344543.0146059301</v>
      </c>
      <c r="R20" s="9">
        <f>'Hypothèse AMU'!B17</f>
        <v>0.21</v>
      </c>
      <c r="S20" s="5">
        <f t="shared" ref="S20" si="74">R20*S10</f>
        <v>3848598.013452346</v>
      </c>
      <c r="T20" s="9">
        <f>'Projection AMU'!R5</f>
        <v>0.22283076923076922</v>
      </c>
      <c r="U20" s="33">
        <f t="shared" si="52"/>
        <v>4230757.8752681436</v>
      </c>
      <c r="V20" s="9">
        <f>'Projection AMU'!T5</f>
        <v>0.23566153846153845</v>
      </c>
      <c r="W20" s="33">
        <f t="shared" si="53"/>
        <v>4635445.4641092438</v>
      </c>
      <c r="X20" s="9">
        <f>'Projection AMU'!V5</f>
        <v>0.24849230769230768</v>
      </c>
      <c r="Y20" s="33">
        <f t="shared" si="54"/>
        <v>5063787.4971405566</v>
      </c>
      <c r="Z20" s="9">
        <f>'Projection AMU'!X5</f>
        <v>0.26132307692307694</v>
      </c>
      <c r="AA20" s="33">
        <f t="shared" si="55"/>
        <v>5516962.6192286378</v>
      </c>
      <c r="AB20" s="9">
        <f>'Projection AMU'!Z5</f>
        <v>0.27415384615384619</v>
      </c>
      <c r="AC20" s="33">
        <f t="shared" si="56"/>
        <v>5996203.681510767</v>
      </c>
      <c r="AD20" s="9">
        <f>'Projection AMU'!AB5</f>
        <v>0.21</v>
      </c>
      <c r="AE20" s="33">
        <f t="shared" si="57"/>
        <v>4758401.5006574839</v>
      </c>
    </row>
    <row r="21" spans="2:31" x14ac:dyDescent="0.25">
      <c r="B21" s="11" t="s">
        <v>15</v>
      </c>
      <c r="C21" s="11"/>
      <c r="D21" s="14">
        <f>E21/E7</f>
        <v>0.11918936379000164</v>
      </c>
      <c r="E21" s="12">
        <f>SUM(E18:E20)</f>
        <v>2186290.5</v>
      </c>
      <c r="F21" s="14">
        <f>G21/G7</f>
        <v>0.14077895385592054</v>
      </c>
      <c r="G21" s="12">
        <f>SUM(G18:G20)</f>
        <v>2675271.4512</v>
      </c>
      <c r="H21" s="14">
        <f>I21/I7</f>
        <v>0.17122146912672895</v>
      </c>
      <c r="I21" s="12">
        <f>SUM(I18:I20)</f>
        <v>3370917.2847504001</v>
      </c>
      <c r="J21" s="14">
        <f>K21/K7</f>
        <v>0.20103223814506049</v>
      </c>
      <c r="K21" s="12">
        <f>SUM(K18:K20)</f>
        <v>4100297.2326116739</v>
      </c>
      <c r="L21" s="14">
        <f>M21/M7</f>
        <v>0.23024548012310317</v>
      </c>
      <c r="M21" s="12">
        <f>SUM(M18:M20)</f>
        <v>4865197.794013923</v>
      </c>
      <c r="N21" s="14">
        <f>O21/O7</f>
        <v>0.25889379893456205</v>
      </c>
      <c r="O21" s="12">
        <f>SUM(O18:O20)</f>
        <v>5667490.3767196685</v>
      </c>
      <c r="P21" s="14">
        <f>Q21/Q7</f>
        <v>0.28700825405802383</v>
      </c>
      <c r="Q21" s="12">
        <f>SUM(Q18:Q20)</f>
        <v>6509135.0951351868</v>
      </c>
      <c r="R21" s="14">
        <f>S21/S7</f>
        <v>0.31461842854040761</v>
      </c>
      <c r="S21" s="12">
        <f>SUM(S18:S20)</f>
        <v>7392184.7318443935</v>
      </c>
      <c r="T21" s="39">
        <f t="shared" ref="T21" si="75">U21/U7</f>
        <v>0.32462642854040757</v>
      </c>
      <c r="U21" s="33">
        <f t="shared" ref="U21" si="76">SUM(U18:U20)</f>
        <v>7901913.7155223042</v>
      </c>
      <c r="V21" s="39">
        <f t="shared" ref="V21" si="77">W21/W7</f>
        <v>0.33463442854040754</v>
      </c>
      <c r="W21" s="33">
        <f t="shared" ref="W21" si="78">SUM(W18:W20)</f>
        <v>8438762.914612554</v>
      </c>
      <c r="X21" s="39">
        <f t="shared" ref="X21" si="79">Y21/Y7</f>
        <v>0.34464242854040761</v>
      </c>
      <c r="Y21" s="33">
        <f t="shared" ref="Y21" si="80">SUM(Y18:Y20)</f>
        <v>9004024.3758619875</v>
      </c>
      <c r="Z21" s="39">
        <f t="shared" ref="Z21" si="81">AA21/AA7</f>
        <v>0.35465042854040757</v>
      </c>
      <c r="AA21" s="33">
        <f t="shared" ref="AA21:AE21" si="82">SUM(AA18:AA20)</f>
        <v>9599048.0255840383</v>
      </c>
      <c r="AB21" s="39">
        <f t="shared" ref="AB21" si="83">AC21/AC7</f>
        <v>0.36465842854040759</v>
      </c>
      <c r="AC21" s="33">
        <f t="shared" ref="AC21" si="84">SUM(AC18:AC20)</f>
        <v>10225244.162494963</v>
      </c>
      <c r="AD21" s="39">
        <f t="shared" ref="AD21" si="85">AE21/AE7</f>
        <v>0.31461842854040761</v>
      </c>
      <c r="AE21" s="33">
        <f t="shared" si="82"/>
        <v>9139687.4389571119</v>
      </c>
    </row>
    <row r="23" spans="2:31" x14ac:dyDescent="0.25">
      <c r="D23" s="84"/>
    </row>
    <row r="24" spans="2:31" x14ac:dyDescent="0.25">
      <c r="D24" s="84"/>
    </row>
    <row r="25" spans="2:31" x14ac:dyDescent="0.25">
      <c r="D25" s="84"/>
    </row>
    <row r="27" spans="2:31" x14ac:dyDescent="0.25">
      <c r="D27" s="85"/>
      <c r="E27" s="20"/>
    </row>
    <row r="28" spans="2:31" x14ac:dyDescent="0.25">
      <c r="D28" s="29"/>
    </row>
    <row r="32" spans="2:31" x14ac:dyDescent="0.25">
      <c r="C32" s="29"/>
    </row>
  </sheetData>
  <mergeCells count="17">
    <mergeCell ref="Z6:AA6"/>
    <mergeCell ref="AB6:AC6"/>
    <mergeCell ref="AD6:AE6"/>
    <mergeCell ref="T6:U6"/>
    <mergeCell ref="V6:W6"/>
    <mergeCell ref="X6:Y6"/>
    <mergeCell ref="P6:Q6"/>
    <mergeCell ref="R6:S6"/>
    <mergeCell ref="B7:C7"/>
    <mergeCell ref="B8:C8"/>
    <mergeCell ref="L6:M6"/>
    <mergeCell ref="N6:O6"/>
    <mergeCell ref="B12:C12"/>
    <mergeCell ref="D6:E6"/>
    <mergeCell ref="F6:G6"/>
    <mergeCell ref="H6:I6"/>
    <mergeCell ref="J6:K6"/>
  </mergeCells>
  <pageMargins left="0.7" right="0.7" top="0.75" bottom="0.75" header="0.3" footer="0.3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2"/>
  <dimension ref="B1:Q20"/>
  <sheetViews>
    <sheetView topLeftCell="A5" workbookViewId="0">
      <selection activeCell="F27" sqref="F27"/>
    </sheetView>
  </sheetViews>
  <sheetFormatPr baseColWidth="10" defaultRowHeight="15" x14ac:dyDescent="0.25"/>
  <cols>
    <col min="1" max="1" width="1.42578125" customWidth="1"/>
    <col min="2" max="2" width="12.28515625" bestFit="1" customWidth="1"/>
    <col min="3" max="3" width="14.85546875" customWidth="1"/>
    <col min="4" max="5" width="18.7109375" bestFit="1" customWidth="1"/>
    <col min="6" max="8" width="16.28515625" bestFit="1" customWidth="1"/>
    <col min="9" max="9" width="17.28515625" bestFit="1" customWidth="1"/>
    <col min="10" max="10" width="17.42578125" bestFit="1" customWidth="1"/>
    <col min="11" max="11" width="18.7109375" bestFit="1" customWidth="1"/>
    <col min="12" max="12" width="16.28515625" hidden="1" customWidth="1"/>
    <col min="13" max="14" width="17.28515625" hidden="1" customWidth="1"/>
    <col min="15" max="15" width="19.7109375" hidden="1" customWidth="1"/>
    <col min="16" max="17" width="17.28515625" hidden="1" customWidth="1"/>
  </cols>
  <sheetData>
    <row r="1" spans="2:17" hidden="1" x14ac:dyDescent="0.25">
      <c r="G1" s="3" t="s">
        <v>28</v>
      </c>
      <c r="H1" s="2">
        <v>12</v>
      </c>
    </row>
    <row r="2" spans="2:17" hidden="1" x14ac:dyDescent="0.25">
      <c r="B2" s="7" t="s">
        <v>21</v>
      </c>
      <c r="C2" s="200" t="s">
        <v>30</v>
      </c>
      <c r="D2" s="201"/>
      <c r="E2" s="202"/>
      <c r="F2" s="2"/>
      <c r="G2" s="10"/>
      <c r="H2" s="10"/>
      <c r="I2" s="2" t="s">
        <v>16</v>
      </c>
      <c r="J2" s="19" t="s">
        <v>17</v>
      </c>
    </row>
    <row r="3" spans="2:17" hidden="1" x14ac:dyDescent="0.25">
      <c r="B3" s="2"/>
      <c r="C3" s="203"/>
      <c r="D3" s="204"/>
      <c r="E3" s="205"/>
      <c r="F3" s="2"/>
      <c r="G3" s="86">
        <f>1-'Hypothèse AMU'!B13</f>
        <v>0.19999999999999996</v>
      </c>
      <c r="H3" s="10"/>
      <c r="I3" s="2" t="s">
        <v>18</v>
      </c>
      <c r="J3" s="19" t="s">
        <v>19</v>
      </c>
    </row>
    <row r="4" spans="2:17" hidden="1" x14ac:dyDescent="0.25">
      <c r="B4" s="2"/>
      <c r="C4" s="2" t="s">
        <v>20</v>
      </c>
      <c r="D4" s="2"/>
      <c r="E4" s="2"/>
      <c r="F4" s="2"/>
      <c r="G4" s="87"/>
      <c r="H4" s="10">
        <f>'Hypothèse AMU'!B9</f>
        <v>6600</v>
      </c>
      <c r="I4" s="2" t="s">
        <v>16</v>
      </c>
      <c r="J4" s="2"/>
    </row>
    <row r="5" spans="2:17" ht="7.5" customHeight="1" x14ac:dyDescent="0.25"/>
    <row r="6" spans="2:17" x14ac:dyDescent="0.25">
      <c r="B6" s="198"/>
      <c r="C6" s="199"/>
      <c r="D6" s="90">
        <v>2016</v>
      </c>
      <c r="E6" s="90">
        <v>2017</v>
      </c>
      <c r="F6" s="90">
        <v>2018</v>
      </c>
      <c r="G6" s="90">
        <v>2019</v>
      </c>
      <c r="H6" s="90">
        <v>2020</v>
      </c>
      <c r="I6" s="90">
        <v>2021</v>
      </c>
      <c r="J6" s="90">
        <v>2022</v>
      </c>
      <c r="K6" s="90">
        <v>2023</v>
      </c>
      <c r="L6" s="2">
        <v>2024</v>
      </c>
      <c r="M6" s="2">
        <v>2025</v>
      </c>
      <c r="N6" s="2">
        <v>2026</v>
      </c>
      <c r="O6" s="2">
        <v>2027</v>
      </c>
      <c r="P6" s="2">
        <v>2028</v>
      </c>
      <c r="Q6" s="2">
        <v>2029</v>
      </c>
    </row>
    <row r="7" spans="2:17" x14ac:dyDescent="0.25">
      <c r="B7" s="90" t="s">
        <v>22</v>
      </c>
      <c r="C7" s="90" t="s">
        <v>11</v>
      </c>
      <c r="D7" s="88">
        <f>$H$4*'Population &amp; évolution coût AMU'!E18</f>
        <v>7546684200</v>
      </c>
      <c r="E7" s="88">
        <f>$H$4*'Population &amp; évolution coût AMU'!G18</f>
        <v>7714086600</v>
      </c>
      <c r="F7" s="88">
        <f>$H$4*'Population &amp; évolution coût AMU'!I18</f>
        <v>9034086600</v>
      </c>
      <c r="G7" s="88">
        <f>$H$4*'Population &amp; évolution coût AMU'!K18</f>
        <v>10354086600</v>
      </c>
      <c r="H7" s="88">
        <f>$H$4*'Population &amp; évolution coût AMU'!M18</f>
        <v>11674086600</v>
      </c>
      <c r="I7" s="88">
        <f>$H$4*'Population &amp; évolution coût AMU'!O18</f>
        <v>12994086600</v>
      </c>
      <c r="J7" s="88">
        <f>$H$4*'Population &amp; évolution coût AMU'!Q18</f>
        <v>14314086600</v>
      </c>
      <c r="K7" s="88">
        <f>$H$4*'Population &amp; évolution coût AMU'!S18</f>
        <v>15634086600</v>
      </c>
      <c r="L7" s="15">
        <f>$H$4*'Population &amp; évolution coût AMU'!U18</f>
        <v>16196913717.6</v>
      </c>
      <c r="M7" s="15">
        <f>$H$4*'Population &amp; évolution coût AMU'!W18</f>
        <v>16780002611.433601</v>
      </c>
      <c r="N7" s="15">
        <f>$H$4*'Population &amp; évolution coût AMU'!Y18</f>
        <v>17384082705.445213</v>
      </c>
      <c r="O7" s="15">
        <f>$H$4*'Population &amp; évolution coût AMU'!AA18</f>
        <v>18009909682.84124</v>
      </c>
      <c r="P7" s="15">
        <f>$H$4*'Population &amp; évolution coût AMU'!AC18</f>
        <v>18658266431.423527</v>
      </c>
      <c r="Q7" s="15">
        <f>$H$4*'Population &amp; évolution coût AMU'!AE18</f>
        <v>19329964022.954773</v>
      </c>
    </row>
    <row r="8" spans="2:17" x14ac:dyDescent="0.25">
      <c r="B8" s="90"/>
      <c r="C8" s="90"/>
      <c r="D8" s="88">
        <f>$G$3*'Population &amp; évolution coût AMU'!E15</f>
        <v>1319.9999999999998</v>
      </c>
      <c r="E8" s="88">
        <f>$G$3*'Population &amp; évolution coût AMU'!G15</f>
        <v>1399.1999999999996</v>
      </c>
      <c r="F8" s="88">
        <f>$G$3*'Population &amp; évolution coût AMU'!I15</f>
        <v>1483.1519999999998</v>
      </c>
      <c r="G8" s="88">
        <f>$G$3*'Population &amp; évolution coût AMU'!K15</f>
        <v>1572.1411199999998</v>
      </c>
      <c r="H8" s="88">
        <f>$G$3*'Population &amp; évolution coût AMU'!M15</f>
        <v>1666.4695871999998</v>
      </c>
      <c r="I8" s="88">
        <f>$G$3*'Population &amp; évolution coût AMU'!O15</f>
        <v>1766.4577624319998</v>
      </c>
      <c r="J8" s="88">
        <f>$G$3*'Population &amp; évolution coût AMU'!Q15</f>
        <v>1872.4452281779197</v>
      </c>
      <c r="K8" s="88">
        <f>$G$3*'Population &amp; évolution coût AMU'!S15</f>
        <v>1984.7919418685951</v>
      </c>
      <c r="L8" s="15">
        <f>$G$3*'Population &amp; évolution coût AMU'!U15</f>
        <v>2103.8794583807107</v>
      </c>
      <c r="M8" s="15">
        <f>$G$3*'Population &amp; évolution coût AMU'!W15</f>
        <v>2230.1122258835535</v>
      </c>
      <c r="N8" s="15">
        <f>$G$3*'Population &amp; évolution coût AMU'!Y15</f>
        <v>2363.9189594365671</v>
      </c>
      <c r="O8" s="15">
        <f>$G$3*'Population &amp; évolution coût AMU'!AA15</f>
        <v>2505.7540970027612</v>
      </c>
      <c r="P8" s="15">
        <f>$G$3*'Population &amp; évolution coût AMU'!AC15</f>
        <v>2656.0993428229272</v>
      </c>
      <c r="Q8" s="15">
        <f>$G$3*'Population &amp; évolution coût AMU'!AE15</f>
        <v>2815.4653033923032</v>
      </c>
    </row>
    <row r="9" spans="2:17" x14ac:dyDescent="0.25">
      <c r="B9" s="90"/>
      <c r="C9" s="90" t="s">
        <v>23</v>
      </c>
      <c r="D9" s="88">
        <f>D8*'Population &amp; évolution coût AMU'!E20</f>
        <v>1198531619.9999998</v>
      </c>
      <c r="E9" s="88">
        <f>E8*'Population &amp; évolution coût AMU'!G20</f>
        <v>1750347781.0790393</v>
      </c>
      <c r="F9" s="88">
        <f>F8*'Population &amp; évolution coût AMU'!I20</f>
        <v>2398948176.588624</v>
      </c>
      <c r="G9" s="88">
        <f>G8*'Population &amp; évolution coût AMU'!K20</f>
        <v>3158016525.9398494</v>
      </c>
      <c r="H9" s="88">
        <f>H8*'Population &amp; évolution coût AMU'!M20</f>
        <v>4042990382.9198589</v>
      </c>
      <c r="I9" s="88">
        <f>I8*'Population &amp; évolution coût AMU'!O20</f>
        <v>5071273600.543581</v>
      </c>
      <c r="J9" s="88">
        <f>J8*'Population &amp; évolution coût AMU'!Q20</f>
        <v>6262473608.1346684</v>
      </c>
      <c r="K9" s="88">
        <f>K8*'Population &amp; évolution coût AMU'!S20</f>
        <v>7638666324.5916996</v>
      </c>
      <c r="L9" s="15">
        <f>L8*'Population &amp; évolution coût AMU'!U20</f>
        <v>8901004587.1590691</v>
      </c>
      <c r="M9" s="15">
        <f>M8*'Population &amp; évolution coût AMU'!W20</f>
        <v>10337563601.926487</v>
      </c>
      <c r="N9" s="15">
        <f>N8*'Population &amp; évolution coût AMU'!Y20</f>
        <v>11970383271.048403</v>
      </c>
      <c r="O9" s="15">
        <f>O8*'Population &amp; évolution coût AMU'!Y20</f>
        <v>12688606267.311308</v>
      </c>
      <c r="P9" s="15">
        <f>P8*'Population &amp; évolution coût AMU'!AA20</f>
        <v>14653600787.31184</v>
      </c>
      <c r="Q9" s="15">
        <f>Q8*'Population &amp; évolution coût AMU'!AA20</f>
        <v>15532816834.550552</v>
      </c>
    </row>
    <row r="10" spans="2:17" x14ac:dyDescent="0.25">
      <c r="B10" s="90"/>
      <c r="C10" s="90" t="s">
        <v>24</v>
      </c>
      <c r="D10" s="88">
        <f>D7+D9</f>
        <v>8745215820</v>
      </c>
      <c r="E10" s="88">
        <f t="shared" ref="E10:K10" si="0">E7+E9</f>
        <v>9464434381.0790386</v>
      </c>
      <c r="F10" s="88">
        <f t="shared" si="0"/>
        <v>11433034776.588623</v>
      </c>
      <c r="G10" s="88">
        <f t="shared" si="0"/>
        <v>13512103125.93985</v>
      </c>
      <c r="H10" s="88">
        <f t="shared" si="0"/>
        <v>15717076982.919859</v>
      </c>
      <c r="I10" s="88">
        <f t="shared" si="0"/>
        <v>18065360200.543579</v>
      </c>
      <c r="J10" s="88">
        <f t="shared" si="0"/>
        <v>20576560208.134666</v>
      </c>
      <c r="K10" s="88">
        <f t="shared" si="0"/>
        <v>23272752924.591698</v>
      </c>
      <c r="L10" s="15">
        <f t="shared" ref="L10:Q10" si="1">L7+L9</f>
        <v>25097918304.759071</v>
      </c>
      <c r="M10" s="15">
        <f t="shared" si="1"/>
        <v>27117566213.360088</v>
      </c>
      <c r="N10" s="15">
        <f t="shared" si="1"/>
        <v>29354465976.493614</v>
      </c>
      <c r="O10" s="15">
        <f t="shared" si="1"/>
        <v>30698515950.15255</v>
      </c>
      <c r="P10" s="15">
        <f t="shared" si="1"/>
        <v>33311867218.735367</v>
      </c>
      <c r="Q10" s="15">
        <f t="shared" si="1"/>
        <v>34862780857.505325</v>
      </c>
    </row>
    <row r="11" spans="2:17" x14ac:dyDescent="0.25">
      <c r="B11" s="90" t="s">
        <v>26</v>
      </c>
      <c r="C11" s="90"/>
      <c r="D11" s="88">
        <f>'Population &amp; évolution coût AMU'!E21*'Population &amp; évolution coût AMU'!E15</f>
        <v>14429517300</v>
      </c>
      <c r="E11" s="88">
        <f>'Population &amp; évolution coût AMU'!G21*'Population &amp; évolution coût AMU'!G15</f>
        <v>18716199072.5952</v>
      </c>
      <c r="F11" s="88">
        <f>'Population &amp; évolution coût AMU'!I21*'Population &amp; évolution coût AMU'!I15</f>
        <v>24997913563.560627</v>
      </c>
      <c r="G11" s="88">
        <f>'Population &amp; évolution coût AMU'!K21*'Population &amp; évolution coût AMU'!K15</f>
        <v>32231229418.055088</v>
      </c>
      <c r="H11" s="88">
        <f>'Population &amp; évolution coût AMU'!M21*'Population &amp; évolution coût AMU'!M15</f>
        <v>40538520797.183662</v>
      </c>
      <c r="I11" s="88">
        <f>'Population &amp; évolution coût AMU'!O21*'Population &amp; évolution coût AMU'!O15</f>
        <v>50056911847.3256</v>
      </c>
      <c r="J11" s="88">
        <f>'Population &amp; évolution coût AMU'!Q21*'Population &amp; évolution coût AMU'!Q15</f>
        <v>60939994742.256569</v>
      </c>
      <c r="K11" s="88">
        <f>'Population &amp; évolution coût AMU'!S21*'Population &amp; évolution coût AMU'!S15</f>
        <v>73359743442.844086</v>
      </c>
      <c r="L11" s="15">
        <f>'Population &amp; évolution coût AMU'!U21*'Population &amp; évolution coût AMU'!U15</f>
        <v>83123369739.920898</v>
      </c>
      <c r="M11" s="15">
        <f>'Population &amp; évolution coût AMU'!W21*'Population &amp; évolution coût AMU'!W15</f>
        <v>94096941736.050964</v>
      </c>
      <c r="N11" s="15">
        <f>'Population &amp; évolution coût AMU'!Y21*'Population &amp; évolution coût AMU'!Y15</f>
        <v>106423919666.6458</v>
      </c>
      <c r="O11" s="15">
        <f>'Population &amp; évolution coût AMU'!AA21*'Population &amp; évolution coût AMU'!AA15</f>
        <v>120264269587.16737</v>
      </c>
      <c r="P11" s="15">
        <f>'Population &amp; évolution coût AMU'!AC21*'Population &amp; évolution coût AMU'!AC15</f>
        <v>135796321501.03426</v>
      </c>
      <c r="Q11" s="15">
        <f>'Population &amp; évolution coût AMU'!AE21*'Population &amp; évolution coût AMU'!AE15</f>
        <v>128662364341.17107</v>
      </c>
    </row>
    <row r="12" spans="2:17" x14ac:dyDescent="0.25">
      <c r="B12" s="90" t="s">
        <v>27</v>
      </c>
      <c r="C12" s="90" t="s">
        <v>16</v>
      </c>
      <c r="D12" s="88">
        <f>D11-D10</f>
        <v>5684301480</v>
      </c>
      <c r="E12" s="88">
        <f t="shared" ref="E12:K12" si="2">E11-E10</f>
        <v>9251764691.516161</v>
      </c>
      <c r="F12" s="88">
        <f t="shared" si="2"/>
        <v>13564878786.972004</v>
      </c>
      <c r="G12" s="88">
        <f t="shared" si="2"/>
        <v>18719126292.115238</v>
      </c>
      <c r="H12" s="88">
        <f t="shared" si="2"/>
        <v>24821443814.263802</v>
      </c>
      <c r="I12" s="88">
        <f t="shared" si="2"/>
        <v>31991551646.782021</v>
      </c>
      <c r="J12" s="88">
        <f t="shared" si="2"/>
        <v>40363434534.121902</v>
      </c>
      <c r="K12" s="88">
        <f t="shared" si="2"/>
        <v>50086990518.252388</v>
      </c>
      <c r="L12" s="15">
        <f t="shared" ref="L12:Q12" si="3">L11-L10</f>
        <v>58025451435.161827</v>
      </c>
      <c r="M12" s="15">
        <f t="shared" si="3"/>
        <v>66979375522.690872</v>
      </c>
      <c r="N12" s="15">
        <f t="shared" si="3"/>
        <v>77069453690.152191</v>
      </c>
      <c r="O12" s="15">
        <f t="shared" si="3"/>
        <v>89565753637.014832</v>
      </c>
      <c r="P12" s="15">
        <f t="shared" si="3"/>
        <v>102484454282.29889</v>
      </c>
      <c r="Q12" s="15">
        <f t="shared" si="3"/>
        <v>93799583483.665741</v>
      </c>
    </row>
    <row r="13" spans="2:17" x14ac:dyDescent="0.25">
      <c r="B13" s="90" t="s">
        <v>31</v>
      </c>
      <c r="C13" s="90" t="s">
        <v>176</v>
      </c>
      <c r="D13" s="88"/>
      <c r="E13" s="88">
        <v>8868</v>
      </c>
      <c r="F13" s="88">
        <v>9445</v>
      </c>
      <c r="G13" s="88">
        <v>9965</v>
      </c>
      <c r="H13" s="88">
        <v>10528</v>
      </c>
      <c r="I13" s="88">
        <f>H13*(1+H18)</f>
        <v>11184.911742595097</v>
      </c>
      <c r="J13" s="88">
        <f t="shared" ref="J13:Q13" si="4">I13*(1+I18)</f>
        <v>11184.911742595097</v>
      </c>
      <c r="K13" s="88">
        <f t="shared" si="4"/>
        <v>11184.911742595097</v>
      </c>
      <c r="L13" s="88">
        <f t="shared" si="4"/>
        <v>11184.911742595097</v>
      </c>
      <c r="M13" s="88">
        <f t="shared" si="4"/>
        <v>11184.911742595097</v>
      </c>
      <c r="N13" s="88">
        <f t="shared" si="4"/>
        <v>11184.911742595097</v>
      </c>
      <c r="O13" s="88">
        <f t="shared" si="4"/>
        <v>11184.911742595097</v>
      </c>
      <c r="P13" s="88">
        <f t="shared" si="4"/>
        <v>11184.911742595097</v>
      </c>
      <c r="Q13" s="88">
        <f t="shared" si="4"/>
        <v>11184.911742595097</v>
      </c>
    </row>
    <row r="14" spans="2:17" x14ac:dyDescent="0.25">
      <c r="B14" s="90" t="s">
        <v>32</v>
      </c>
      <c r="C14" s="90"/>
      <c r="D14" s="89"/>
      <c r="E14" s="89">
        <f>E12/(E13*1000000000)</f>
        <v>1.0432752245733154E-3</v>
      </c>
      <c r="F14" s="89">
        <f t="shared" ref="F14:Q14" si="5">F12/(F13*1000000000)</f>
        <v>1.4361968011616733E-3</v>
      </c>
      <c r="G14" s="89">
        <f t="shared" si="5"/>
        <v>1.8784873348836166E-3</v>
      </c>
      <c r="H14" s="89">
        <f t="shared" si="5"/>
        <v>2.3576599367651787E-3</v>
      </c>
      <c r="I14" s="89">
        <f t="shared" si="5"/>
        <v>2.8602417598835171E-3</v>
      </c>
      <c r="J14" s="89">
        <f t="shared" si="5"/>
        <v>3.6087396541903218E-3</v>
      </c>
      <c r="K14" s="89">
        <f t="shared" si="5"/>
        <v>4.4780854485876632E-3</v>
      </c>
      <c r="L14" s="89">
        <f t="shared" si="5"/>
        <v>5.1878327492013718E-3</v>
      </c>
      <c r="M14" s="89">
        <f t="shared" si="5"/>
        <v>5.988368711718638E-3</v>
      </c>
      <c r="N14" s="89">
        <f t="shared" si="5"/>
        <v>6.8904838467925824E-3</v>
      </c>
      <c r="O14" s="89">
        <f t="shared" si="5"/>
        <v>8.007730029368474E-3</v>
      </c>
      <c r="P14" s="89">
        <f t="shared" si="5"/>
        <v>9.1627414360375345E-3</v>
      </c>
      <c r="Q14" s="89">
        <f t="shared" si="5"/>
        <v>8.3862604947030697E-3</v>
      </c>
    </row>
    <row r="15" spans="2:17" ht="7.5" customHeight="1" x14ac:dyDescent="0.25"/>
    <row r="17" spans="4:11" x14ac:dyDescent="0.25">
      <c r="D17" s="20"/>
      <c r="E17" t="s">
        <v>177</v>
      </c>
      <c r="K17" s="20"/>
    </row>
    <row r="18" spans="4:11" x14ac:dyDescent="0.25">
      <c r="D18" s="20"/>
      <c r="E18" t="s">
        <v>178</v>
      </c>
      <c r="H18" s="168">
        <f>(H13-E13)/E13/3</f>
        <v>6.2396632085400694E-2</v>
      </c>
      <c r="K18" s="29"/>
    </row>
    <row r="19" spans="4:11" x14ac:dyDescent="0.25">
      <c r="E19" t="s">
        <v>179</v>
      </c>
    </row>
    <row r="20" spans="4:11" x14ac:dyDescent="0.25">
      <c r="F20" s="216"/>
      <c r="G20" s="216"/>
      <c r="H20" s="216"/>
    </row>
  </sheetData>
  <mergeCells count="2">
    <mergeCell ref="B6:C6"/>
    <mergeCell ref="C2:E3"/>
  </mergeCells>
  <pageMargins left="0.7" right="0.7" top="0.75" bottom="0.75" header="0.3" footer="0.3"/>
  <pageSetup paperSize="9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tabSelected="1" zoomScale="80" zoomScaleNormal="80" workbookViewId="0">
      <selection activeCell="AJ15" sqref="AJ15"/>
    </sheetView>
  </sheetViews>
  <sheetFormatPr baseColWidth="10" defaultRowHeight="15" x14ac:dyDescent="0.25"/>
  <cols>
    <col min="1" max="1" width="50.7109375" customWidth="1"/>
    <col min="2" max="2" width="17.85546875" customWidth="1"/>
    <col min="3" max="3" width="15.5703125" hidden="1" customWidth="1"/>
    <col min="4" max="4" width="13" bestFit="1" customWidth="1"/>
    <col min="5" max="5" width="14.28515625" hidden="1" customWidth="1"/>
    <col min="6" max="6" width="13" bestFit="1" customWidth="1"/>
    <col min="7" max="7" width="14.28515625" hidden="1" customWidth="1"/>
    <col min="8" max="8" width="13" bestFit="1" customWidth="1"/>
    <col min="9" max="9" width="14.28515625" hidden="1" customWidth="1"/>
    <col min="10" max="10" width="13" bestFit="1" customWidth="1"/>
    <col min="11" max="11" width="14.28515625" hidden="1" customWidth="1"/>
    <col min="12" max="12" width="13" bestFit="1" customWidth="1"/>
    <col min="13" max="13" width="14.28515625" hidden="1" customWidth="1"/>
    <col min="14" max="14" width="13" bestFit="1" customWidth="1"/>
    <col min="15" max="15" width="14.28515625" hidden="1" customWidth="1"/>
    <col min="16" max="16" width="13" bestFit="1" customWidth="1"/>
    <col min="17" max="17" width="14.28515625" hidden="1" customWidth="1"/>
    <col min="18" max="18" width="11.7109375" hidden="1" customWidth="1"/>
    <col min="19" max="19" width="12.85546875" hidden="1" customWidth="1"/>
    <col min="20" max="20" width="11.7109375" hidden="1" customWidth="1"/>
    <col min="21" max="21" width="13.85546875" hidden="1" customWidth="1"/>
    <col min="22" max="22" width="9" hidden="1" customWidth="1"/>
    <col min="23" max="28" width="14" hidden="1" customWidth="1"/>
    <col min="29" max="30" width="25.7109375" hidden="1" customWidth="1"/>
    <col min="31" max="31" width="0" hidden="1" customWidth="1"/>
    <col min="32" max="32" width="10.7109375" hidden="1" customWidth="1"/>
    <col min="33" max="33" width="25.140625" hidden="1" customWidth="1"/>
    <col min="34" max="34" width="17.42578125" bestFit="1" customWidth="1"/>
    <col min="36" max="36" width="16.7109375" bestFit="1" customWidth="1"/>
  </cols>
  <sheetData>
    <row r="1" spans="1:36" s="44" customFormat="1" ht="15.75" thickBot="1" x14ac:dyDescent="0.3">
      <c r="A1" s="212"/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213"/>
      <c r="AA1" s="213"/>
      <c r="AB1" s="213"/>
      <c r="AC1" s="213"/>
      <c r="AD1" s="213"/>
      <c r="AE1" s="213"/>
      <c r="AF1" s="45"/>
    </row>
    <row r="2" spans="1:36" ht="15.75" x14ac:dyDescent="0.25">
      <c r="A2" s="66"/>
      <c r="B2" s="214">
        <v>2016</v>
      </c>
      <c r="C2" s="206"/>
      <c r="D2" s="206">
        <v>2017</v>
      </c>
      <c r="E2" s="206"/>
      <c r="F2" s="206">
        <v>2018</v>
      </c>
      <c r="G2" s="206"/>
      <c r="H2" s="206">
        <v>2019</v>
      </c>
      <c r="I2" s="206"/>
      <c r="J2" s="206">
        <v>2020</v>
      </c>
      <c r="K2" s="206"/>
      <c r="L2" s="206">
        <v>2021</v>
      </c>
      <c r="M2" s="206"/>
      <c r="N2" s="206">
        <v>2022</v>
      </c>
      <c r="O2" s="206"/>
      <c r="P2" s="206">
        <v>2023</v>
      </c>
      <c r="Q2" s="207"/>
      <c r="R2" s="208">
        <v>2024</v>
      </c>
      <c r="S2" s="209"/>
      <c r="T2" s="210">
        <v>2025</v>
      </c>
      <c r="U2" s="211"/>
      <c r="V2" s="210">
        <v>2026</v>
      </c>
      <c r="W2" s="209"/>
      <c r="X2" s="210">
        <v>2027</v>
      </c>
      <c r="Y2" s="209"/>
      <c r="Z2" s="210">
        <v>2028</v>
      </c>
      <c r="AA2" s="209"/>
      <c r="AB2" s="210">
        <v>2029</v>
      </c>
      <c r="AC2" s="209"/>
      <c r="AD2" s="26"/>
      <c r="AE2" s="40"/>
      <c r="AF2" s="46"/>
    </row>
    <row r="3" spans="1:36" ht="15.75" x14ac:dyDescent="0.25">
      <c r="A3" s="67" t="s">
        <v>43</v>
      </c>
      <c r="B3" s="217">
        <v>0.34350000000000003</v>
      </c>
      <c r="C3" s="218">
        <f>'Population &amp; évolution coût AMU'!E18</f>
        <v>1143437</v>
      </c>
      <c r="D3" s="179">
        <f>'Population &amp; évolution coût AMU'!F18</f>
        <v>0.36179414280052125</v>
      </c>
      <c r="E3" s="180">
        <f>'Population &amp; évolution coût AMU'!G18</f>
        <v>1168801</v>
      </c>
      <c r="F3" s="179">
        <f>'Population &amp; évolution coût AMU'!H18</f>
        <v>0.40897947731491574</v>
      </c>
      <c r="G3" s="180">
        <f>'Population &amp; évolution coût AMU'!I18</f>
        <v>1368801</v>
      </c>
      <c r="H3" s="179">
        <f>'Population &amp; évolution coût AMU'!J18</f>
        <v>0.45244865740297568</v>
      </c>
      <c r="I3" s="180">
        <f>'Population &amp; évolution coût AMU'!K18</f>
        <v>1568801</v>
      </c>
      <c r="J3" s="179">
        <f>'Population &amp; évolution coût AMU'!L18</f>
        <v>0.49240297254815985</v>
      </c>
      <c r="K3" s="180">
        <f>'Population &amp; évolution coût AMU'!M18</f>
        <v>1768801</v>
      </c>
      <c r="L3" s="179">
        <f>'Population &amp; évolution coût AMU'!N18</f>
        <v>0.52903421024285158</v>
      </c>
      <c r="M3" s="180">
        <f>'Population &amp; évolution coût AMU'!O18</f>
        <v>1968801</v>
      </c>
      <c r="N3" s="179">
        <f>'Population &amp; évolution coût AMU'!P18</f>
        <v>0.56252507330226575</v>
      </c>
      <c r="O3" s="180">
        <f>'Population &amp; évolution coût AMU'!Q18</f>
        <v>2168801</v>
      </c>
      <c r="P3" s="179">
        <f>'Population &amp; évolution coût AMU'!R18</f>
        <v>0.59304957964945637</v>
      </c>
      <c r="Q3" s="180">
        <f>'Population &amp; évolution coût AMU'!S18</f>
        <v>2368801</v>
      </c>
      <c r="R3" s="63">
        <f>T3</f>
        <v>0.59304957964945637</v>
      </c>
      <c r="S3" s="28">
        <f>'Population &amp; évolution coût AMU'!U18</f>
        <v>2454077.8360000001</v>
      </c>
      <c r="T3" s="16">
        <f>V3</f>
        <v>0.59304957964945637</v>
      </c>
      <c r="U3" s="28">
        <f>'Population &amp; évolution coût AMU'!W18</f>
        <v>2542424.6380960001</v>
      </c>
      <c r="V3" s="16">
        <f>X3</f>
        <v>0.59304957964945637</v>
      </c>
      <c r="W3" s="28">
        <f>'Population &amp; évolution coût AMU'!Y18</f>
        <v>2633951.9250674564</v>
      </c>
      <c r="X3" s="16">
        <f>Z3</f>
        <v>0.59304957964945637</v>
      </c>
      <c r="Y3" s="28">
        <f>'Population &amp; évolution coût AMU'!AA18</f>
        <v>2728774.1943698847</v>
      </c>
      <c r="Z3" s="16">
        <f>AB3</f>
        <v>0.59304957964945637</v>
      </c>
      <c r="AA3" s="28">
        <f>'Population &amp; évolution coût AMU'!AC18</f>
        <v>2827010.0653672009</v>
      </c>
      <c r="AB3" s="16">
        <f>'Hypothèse AMU'!B15</f>
        <v>0.59304957964945637</v>
      </c>
      <c r="AC3" s="28">
        <f>'Population &amp; évolution coût AMU'!AE18</f>
        <v>2928782.4277204201</v>
      </c>
      <c r="AD3" s="40">
        <f>'Population &amp; évolution coût AMU'!R18</f>
        <v>0.59304957964945637</v>
      </c>
      <c r="AE3" s="47"/>
      <c r="AF3" s="46"/>
    </row>
    <row r="4" spans="1:36" ht="15.75" x14ac:dyDescent="0.25">
      <c r="A4" s="67" t="s">
        <v>47</v>
      </c>
      <c r="B4" s="217">
        <v>0.14000000000000001</v>
      </c>
      <c r="C4" s="218">
        <f>'Population &amp; évolution coût AMU'!E19</f>
        <v>134875</v>
      </c>
      <c r="D4" s="179">
        <f>'Population &amp; évolution coût AMU'!F19</f>
        <v>0.26890756302521007</v>
      </c>
      <c r="E4" s="180">
        <f>'Population &amp; évolution coût AMU'!G19</f>
        <v>255507.19999999998</v>
      </c>
      <c r="F4" s="179">
        <f>'Population &amp; évolution coût AMU'!H19</f>
        <v>0.3907563025210084</v>
      </c>
      <c r="G4" s="180">
        <f>'Population &amp; évolution coût AMU'!I19</f>
        <v>384650.12040000007</v>
      </c>
      <c r="H4" s="179">
        <f>'Population &amp; évolution coût AMU'!J19</f>
        <v>0.51260504201680668</v>
      </c>
      <c r="I4" s="180">
        <f>'Population &amp; évolution coût AMU'!K19</f>
        <v>522760.1937376</v>
      </c>
      <c r="J4" s="179">
        <f>'Population &amp; évolution coût AMU'!L19</f>
        <v>0.63445378151260501</v>
      </c>
      <c r="K4" s="180">
        <f>'Population &amp; évolution coût AMU'!M19</f>
        <v>670315.68579946889</v>
      </c>
      <c r="L4" s="179">
        <f>'Population &amp; évolution coût AMU'!N19</f>
        <v>0.75630252100840334</v>
      </c>
      <c r="M4" s="180">
        <f>'Population &amp; évolution coût AMU'!O19</f>
        <v>827817.67607870849</v>
      </c>
      <c r="N4" s="179">
        <f>'Population &amp; évolution coût AMU'!P19</f>
        <v>0.87815126050420167</v>
      </c>
      <c r="O4" s="180">
        <f>'Population &amp; évolution coût AMU'!Q19</f>
        <v>995791.08052925696</v>
      </c>
      <c r="P4" s="179">
        <f>'Population &amp; évolution coût AMU'!R19</f>
        <v>1</v>
      </c>
      <c r="Q4" s="180">
        <f>'Population &amp; évolution coût AMU'!S19</f>
        <v>1174785.7183920471</v>
      </c>
      <c r="R4" s="63">
        <f>P4</f>
        <v>1</v>
      </c>
      <c r="S4" s="28">
        <f>'Population &amp; évolution coût AMU'!U19</f>
        <v>1217078.0042541609</v>
      </c>
      <c r="T4" s="16">
        <f>R4</f>
        <v>1</v>
      </c>
      <c r="U4" s="28">
        <f>'Population &amp; évolution coût AMU'!W19</f>
        <v>1260892.8124073108</v>
      </c>
      <c r="V4" s="16">
        <f>T4</f>
        <v>1</v>
      </c>
      <c r="W4" s="28">
        <f>'Population &amp; évolution coût AMU'!Y19</f>
        <v>1306284.953653974</v>
      </c>
      <c r="X4" s="16">
        <f t="shared" ref="X4" si="0">V4</f>
        <v>1</v>
      </c>
      <c r="Y4" s="28">
        <f>'Population &amp; évolution coût AMU'!AA19</f>
        <v>1353311.2119855171</v>
      </c>
      <c r="Z4" s="16">
        <f t="shared" ref="Z4" si="1">X4</f>
        <v>1</v>
      </c>
      <c r="AA4" s="28">
        <f>'Population &amp; évolution coût AMU'!AC19</f>
        <v>1402030.4156169957</v>
      </c>
      <c r="AB4" s="16">
        <f>'Hypothèse AMU'!B16</f>
        <v>1</v>
      </c>
      <c r="AC4" s="28">
        <f>'Population &amp; évolution coût AMU'!AE19</f>
        <v>1452503.5105792077</v>
      </c>
      <c r="AD4" s="40">
        <f>'Population &amp; évolution coût AMU'!R19</f>
        <v>1</v>
      </c>
      <c r="AE4" s="47"/>
      <c r="AF4" s="46"/>
    </row>
    <row r="5" spans="1:36" ht="15.75" x14ac:dyDescent="0.25">
      <c r="A5" s="68" t="s">
        <v>48</v>
      </c>
      <c r="B5" s="219">
        <v>4.3200000000000002E-2</v>
      </c>
      <c r="C5" s="220">
        <f>'Population &amp; évolution coût AMU'!E20</f>
        <v>907978.5</v>
      </c>
      <c r="D5" s="179">
        <f>'Population &amp; évolution coût AMU'!F20</f>
        <v>8.4395604395604396E-2</v>
      </c>
      <c r="E5" s="180">
        <f>'Population &amp; évolution coût AMU'!G20</f>
        <v>1250963.2511999998</v>
      </c>
      <c r="F5" s="179">
        <f>'Population &amp; évolution coût AMU'!H20</f>
        <v>0.10532967032967033</v>
      </c>
      <c r="G5" s="180">
        <f>'Population &amp; évolution coût AMU'!I20</f>
        <v>1617466.1643504</v>
      </c>
      <c r="H5" s="179">
        <f>'Population &amp; évolution coût AMU'!J20</f>
        <v>0.12626373626373627</v>
      </c>
      <c r="I5" s="180">
        <f>'Population &amp; évolution coût AMU'!K20</f>
        <v>2008736.0388740737</v>
      </c>
      <c r="J5" s="179">
        <f>'Population &amp; évolution coût AMU'!L20</f>
        <v>0.14719780219780221</v>
      </c>
      <c r="K5" s="180">
        <f>'Population &amp; évolution coût AMU'!M20</f>
        <v>2426081.1082144538</v>
      </c>
      <c r="L5" s="179">
        <f>'Population &amp; évolution coût AMU'!N20</f>
        <v>0.16813186813186815</v>
      </c>
      <c r="M5" s="180">
        <f>'Population &amp; évolution coût AMU'!O20</f>
        <v>2870871.7006409606</v>
      </c>
      <c r="N5" s="179">
        <f>'Population &amp; évolution coût AMU'!P20</f>
        <v>0.18906593406593408</v>
      </c>
      <c r="O5" s="180">
        <f>'Population &amp; évolution coût AMU'!Q20</f>
        <v>3344543.0146059301</v>
      </c>
      <c r="P5" s="179">
        <f>'Population &amp; évolution coût AMU'!R20</f>
        <v>0.21</v>
      </c>
      <c r="Q5" s="180">
        <f>'Population &amp; évolution coût AMU'!S20</f>
        <v>3848598.013452346</v>
      </c>
      <c r="R5" s="64">
        <f>($AB$5-$B$5)/13+P5</f>
        <v>0.22283076923076922</v>
      </c>
      <c r="S5" s="51">
        <f>'Population &amp; évolution coût AMU'!U20</f>
        <v>4230757.8752681436</v>
      </c>
      <c r="T5" s="50">
        <f>($AB$5-$B$5)/13+R5</f>
        <v>0.23566153846153845</v>
      </c>
      <c r="U5" s="51">
        <f>'Population &amp; évolution coût AMU'!W20</f>
        <v>4635445.4641092438</v>
      </c>
      <c r="V5" s="50">
        <f>($AB$5-$B$5)/13+T5</f>
        <v>0.24849230769230768</v>
      </c>
      <c r="W5" s="51">
        <f>'Population &amp; évolution coût AMU'!Y20</f>
        <v>5063787.4971405566</v>
      </c>
      <c r="X5" s="50">
        <f>($AB$5-$B$5)/13+V5</f>
        <v>0.26132307692307694</v>
      </c>
      <c r="Y5" s="51">
        <f>'Population &amp; évolution coût AMU'!AA20</f>
        <v>5516962.6192286378</v>
      </c>
      <c r="Z5" s="50">
        <f>($AB$5-$B$5)/13+X5</f>
        <v>0.27415384615384619</v>
      </c>
      <c r="AA5" s="51">
        <f>'Population &amp; évolution coût AMU'!AC20</f>
        <v>5996203.681510767</v>
      </c>
      <c r="AB5" s="16">
        <f>'Hypothèse AMU'!B17</f>
        <v>0.21</v>
      </c>
      <c r="AC5" s="51">
        <f>'Population &amp; évolution coût AMU'!AE20</f>
        <v>4758401.5006574839</v>
      </c>
      <c r="AD5" s="40">
        <f>'Population &amp; évolution coût AMU'!R20</f>
        <v>0.21</v>
      </c>
      <c r="AE5" s="47"/>
      <c r="AF5" s="46"/>
    </row>
    <row r="6" spans="1:36" ht="15.75" hidden="1" x14ac:dyDescent="0.25">
      <c r="A6" s="69"/>
      <c r="B6" s="221">
        <f>B2</f>
        <v>2016</v>
      </c>
      <c r="C6" s="222"/>
      <c r="D6" s="215"/>
      <c r="E6" s="215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>
        <f>P2</f>
        <v>2023</v>
      </c>
      <c r="Q6" s="207"/>
      <c r="R6" s="208">
        <f>R2</f>
        <v>2024</v>
      </c>
      <c r="S6" s="210"/>
      <c r="T6" s="210">
        <f>T2</f>
        <v>2025</v>
      </c>
      <c r="U6" s="210"/>
      <c r="V6" s="210">
        <f>V2</f>
        <v>2026</v>
      </c>
      <c r="W6" s="209"/>
      <c r="X6" s="210">
        <f t="shared" ref="X6" si="2">X2</f>
        <v>2027</v>
      </c>
      <c r="Y6" s="209"/>
      <c r="Z6" s="210">
        <f t="shared" ref="Z6" si="3">Z2</f>
        <v>2028</v>
      </c>
      <c r="AA6" s="209"/>
      <c r="AB6" s="210">
        <f t="shared" ref="AB6" si="4">AB2</f>
        <v>2029</v>
      </c>
      <c r="AC6" s="209"/>
      <c r="AD6" s="40"/>
      <c r="AE6" s="47"/>
      <c r="AF6" s="46"/>
    </row>
    <row r="7" spans="1:36" ht="15.75" x14ac:dyDescent="0.25">
      <c r="A7" s="67" t="s">
        <v>49</v>
      </c>
      <c r="B7" s="217">
        <f>'Population &amp; évolution coût AMU'!D21</f>
        <v>0.11918936379000164</v>
      </c>
      <c r="C7" s="223">
        <f>'Population &amp; évolution coût AMU'!E21</f>
        <v>2186290.5</v>
      </c>
      <c r="D7" s="217">
        <f>'Population &amp; évolution coût AMU'!F21</f>
        <v>0.14077895385592054</v>
      </c>
      <c r="E7" s="223">
        <f>'Population &amp; évolution coût AMU'!G21</f>
        <v>2675271.4512</v>
      </c>
      <c r="F7" s="217">
        <f>'Population &amp; évolution coût AMU'!H21</f>
        <v>0.17122146912672895</v>
      </c>
      <c r="G7" s="223">
        <f>'Population &amp; évolution coût AMU'!I21</f>
        <v>3370917.2847504001</v>
      </c>
      <c r="H7" s="217">
        <f>'Population &amp; évolution coût AMU'!J21</f>
        <v>0.20103223814506049</v>
      </c>
      <c r="I7" s="223">
        <f>'Population &amp; évolution coût AMU'!K21</f>
        <v>4100297.2326116739</v>
      </c>
      <c r="J7" s="217">
        <f>'Population &amp; évolution coût AMU'!L21</f>
        <v>0.23024548012310317</v>
      </c>
      <c r="K7" s="223">
        <f>'Population &amp; évolution coût AMU'!M21</f>
        <v>4865197.794013923</v>
      </c>
      <c r="L7" s="217">
        <f>'Population &amp; évolution coût AMU'!N21</f>
        <v>0.25889379893456205</v>
      </c>
      <c r="M7" s="223">
        <f>'Population &amp; évolution coût AMU'!O21</f>
        <v>5667490.3767196685</v>
      </c>
      <c r="N7" s="217">
        <f>'Population &amp; évolution coût AMU'!P21</f>
        <v>0.28700825405802383</v>
      </c>
      <c r="O7" s="223">
        <f>'Population &amp; évolution coût AMU'!Q21</f>
        <v>6509135.0951351868</v>
      </c>
      <c r="P7" s="217">
        <f>'Population &amp; évolution coût AMU'!R21</f>
        <v>0.31461842854040761</v>
      </c>
      <c r="Q7" s="223">
        <f>'Population &amp; évolution coût AMU'!S21</f>
        <v>7392184.7318443935</v>
      </c>
      <c r="R7" s="63">
        <f>'Population &amp; évolution coût AMU'!T21</f>
        <v>0.32462642854040757</v>
      </c>
      <c r="S7" s="15">
        <f>'Population &amp; évolution coût AMU'!U21</f>
        <v>7901913.7155223042</v>
      </c>
      <c r="T7" s="16">
        <f>'Population &amp; évolution coût AMU'!V21</f>
        <v>0.33463442854040754</v>
      </c>
      <c r="U7" s="15">
        <f>'Population &amp; évolution coût AMU'!W21</f>
        <v>8438762.914612554</v>
      </c>
      <c r="V7" s="16">
        <f>'Population &amp; évolution coût AMU'!X21</f>
        <v>0.34464242854040761</v>
      </c>
      <c r="W7" s="28">
        <f>'Population &amp; évolution coût AMU'!Y21</f>
        <v>9004024.3758619875</v>
      </c>
      <c r="X7" s="16">
        <f>'Population &amp; évolution coût AMU'!Z21</f>
        <v>0.35465042854040757</v>
      </c>
      <c r="Y7" s="28">
        <f>'Population &amp; évolution coût AMU'!AA21</f>
        <v>9599048.0255840383</v>
      </c>
      <c r="Z7" s="16">
        <f>'Population &amp; évolution coût AMU'!AB21</f>
        <v>0.36465842854040759</v>
      </c>
      <c r="AA7" s="28">
        <f>'Population &amp; évolution coût AMU'!AC21</f>
        <v>10225244.162494963</v>
      </c>
      <c r="AB7" s="16">
        <f>'Population &amp; évolution coût AMU'!AD21</f>
        <v>0.31461842854040761</v>
      </c>
      <c r="AC7" s="28">
        <f>'Population &amp; évolution coût AMU'!AE21</f>
        <v>9139687.4389571119</v>
      </c>
      <c r="AD7" s="40">
        <f>'Population &amp; évolution coût AMU'!R21</f>
        <v>0.31461842854040761</v>
      </c>
      <c r="AE7" s="47"/>
      <c r="AF7" s="46"/>
    </row>
    <row r="8" spans="1:36" ht="32.25" thickBot="1" x14ac:dyDescent="0.3">
      <c r="A8" s="80" t="s">
        <v>46</v>
      </c>
      <c r="B8" s="70">
        <f>'Ressource - dépenses et gap AMU'!D12/1000000000</f>
        <v>5.6843014800000002</v>
      </c>
      <c r="C8" s="70">
        <f>'Ressource - dépenses et gap AMU'!E12/1000000000</f>
        <v>9.2517646915161613</v>
      </c>
      <c r="D8" s="70">
        <f>'Ressource - dépenses et gap AMU'!E12/1000000000</f>
        <v>9.2517646915161613</v>
      </c>
      <c r="E8" s="70">
        <f>'Ressource - dépenses et gap AMU'!G12/1000000000</f>
        <v>18.719126292115238</v>
      </c>
      <c r="F8" s="70">
        <f>'Ressource - dépenses et gap AMU'!F12/1000000000</f>
        <v>13.564878786972004</v>
      </c>
      <c r="G8" s="70">
        <f>'Ressource - dépenses et gap AMU'!I12/1000000000</f>
        <v>31.991551646782021</v>
      </c>
      <c r="H8" s="70">
        <f>'Ressource - dépenses et gap AMU'!G12/1000000000</f>
        <v>18.719126292115238</v>
      </c>
      <c r="I8" s="70">
        <f>'Ressource - dépenses et gap AMU'!K12/1000000000</f>
        <v>50.086990518252385</v>
      </c>
      <c r="J8" s="70">
        <f>'Ressource - dépenses et gap AMU'!H12/1000000000</f>
        <v>24.821443814263802</v>
      </c>
      <c r="K8" s="70">
        <f>'Ressource - dépenses et gap AMU'!M12/1000000000</f>
        <v>66.979375522690873</v>
      </c>
      <c r="L8" s="70">
        <f>'Ressource - dépenses et gap AMU'!I12/1000000000</f>
        <v>31.991551646782021</v>
      </c>
      <c r="M8" s="70">
        <f>'Ressource - dépenses et gap AMU'!O12/1000000000</f>
        <v>89.565753637014836</v>
      </c>
      <c r="N8" s="70">
        <f>'Ressource - dépenses et gap AMU'!J12/1000000000</f>
        <v>40.3634345341219</v>
      </c>
      <c r="O8" s="70">
        <f>'Ressource - dépenses et gap AMU'!Q12/1000000000</f>
        <v>93.799583483665742</v>
      </c>
      <c r="P8" s="70">
        <f>'Ressource - dépenses et gap AMU'!K12/1000000000</f>
        <v>50.086990518252385</v>
      </c>
      <c r="Q8" s="70">
        <f>'Ressource - dépenses et gap AMU'!S12/1000000000</f>
        <v>0</v>
      </c>
      <c r="R8" s="65">
        <f>'Ressource - dépenses et gap AMU'!L12/1000000000</f>
        <v>58.025451435161827</v>
      </c>
      <c r="S8" s="42"/>
      <c r="T8" s="41">
        <f>'Ressource - dépenses et gap AMU'!M12/1000000000</f>
        <v>66.979375522690873</v>
      </c>
      <c r="U8" s="42"/>
      <c r="V8" s="41">
        <f>'Ressource - dépenses et gap AMU'!N12/1000000000</f>
        <v>77.069453690152187</v>
      </c>
      <c r="W8" s="43"/>
      <c r="X8" s="41">
        <f>'Ressource - dépenses et gap AMU'!O12/1000000000</f>
        <v>89.565753637014836</v>
      </c>
      <c r="Y8" s="42"/>
      <c r="Z8" s="41">
        <f>'Ressource - dépenses et gap AMU'!P12/1000000000</f>
        <v>102.48445428229888</v>
      </c>
      <c r="AA8" s="43"/>
      <c r="AB8" s="41">
        <f>'Ressource - dépenses et gap AMU'!Q12/1000000000</f>
        <v>93.799583483665742</v>
      </c>
      <c r="AC8" s="42"/>
      <c r="AD8" s="40"/>
      <c r="AE8" s="40"/>
      <c r="AF8" s="46"/>
      <c r="AJ8" s="20"/>
    </row>
    <row r="9" spans="1:36" ht="31.5" x14ac:dyDescent="0.25">
      <c r="A9" s="71" t="s">
        <v>50</v>
      </c>
      <c r="B9" s="72"/>
      <c r="C9" s="73"/>
      <c r="D9" s="73">
        <v>1150.8</v>
      </c>
      <c r="E9" s="73"/>
      <c r="F9" s="73">
        <v>1209.5999999999999</v>
      </c>
      <c r="G9" s="73"/>
      <c r="H9" s="73">
        <v>1224.3</v>
      </c>
      <c r="I9" s="73"/>
      <c r="J9" s="73">
        <f>H9*1.0316</f>
        <v>1262.9878800000001</v>
      </c>
      <c r="K9" s="73">
        <f t="shared" ref="K9:P9" si="5">I9*1.0316</f>
        <v>0</v>
      </c>
      <c r="L9" s="73">
        <f t="shared" si="5"/>
        <v>1302.8982970080003</v>
      </c>
      <c r="M9" s="73">
        <f t="shared" si="5"/>
        <v>0</v>
      </c>
      <c r="N9" s="73">
        <f t="shared" si="5"/>
        <v>1344.0698831934533</v>
      </c>
      <c r="O9" s="73">
        <f t="shared" si="5"/>
        <v>0</v>
      </c>
      <c r="P9" s="73">
        <f t="shared" si="5"/>
        <v>1386.5424915023666</v>
      </c>
      <c r="Q9" s="74">
        <f t="shared" ref="Q9:U9" si="6">O9*1.06</f>
        <v>0</v>
      </c>
      <c r="R9" s="62">
        <f t="shared" si="6"/>
        <v>1469.7350409925086</v>
      </c>
      <c r="S9" s="62">
        <f t="shared" si="6"/>
        <v>0</v>
      </c>
      <c r="T9" s="62">
        <f t="shared" si="6"/>
        <v>1557.9191434520592</v>
      </c>
      <c r="U9" s="62">
        <f t="shared" si="6"/>
        <v>0</v>
      </c>
      <c r="V9" s="62"/>
      <c r="W9" s="40"/>
      <c r="X9" s="62"/>
      <c r="Y9" s="40"/>
      <c r="Z9" s="62"/>
      <c r="AA9" s="40"/>
      <c r="AB9" s="62"/>
      <c r="AC9" s="40"/>
      <c r="AD9" s="40"/>
      <c r="AE9" s="40"/>
      <c r="AF9" s="46"/>
      <c r="AJ9" s="20"/>
    </row>
    <row r="10" spans="1:36" ht="32.25" thickBot="1" x14ac:dyDescent="0.3">
      <c r="A10" s="75" t="s">
        <v>51</v>
      </c>
      <c r="B10" s="76"/>
      <c r="C10" s="77"/>
      <c r="D10" s="78">
        <f>D8/D9</f>
        <v>8.0394201351374362E-3</v>
      </c>
      <c r="E10" s="78" t="e">
        <f t="shared" ref="E10:Q10" si="7">E8/E9</f>
        <v>#DIV/0!</v>
      </c>
      <c r="F10" s="78">
        <f t="shared" si="7"/>
        <v>1.1214350849017861E-2</v>
      </c>
      <c r="G10" s="78" t="e">
        <f t="shared" si="7"/>
        <v>#DIV/0!</v>
      </c>
      <c r="H10" s="78">
        <f t="shared" si="7"/>
        <v>1.5289656368631249E-2</v>
      </c>
      <c r="I10" s="78" t="e">
        <f t="shared" si="7"/>
        <v>#DIV/0!</v>
      </c>
      <c r="J10" s="78">
        <f t="shared" si="7"/>
        <v>1.9652954875753675E-2</v>
      </c>
      <c r="K10" s="78" t="e">
        <f t="shared" si="7"/>
        <v>#DIV/0!</v>
      </c>
      <c r="L10" s="78">
        <f t="shared" si="7"/>
        <v>2.4554143420286917E-2</v>
      </c>
      <c r="M10" s="78" t="e">
        <f t="shared" si="7"/>
        <v>#DIV/0!</v>
      </c>
      <c r="N10" s="78">
        <f t="shared" si="7"/>
        <v>3.0030755869791596E-2</v>
      </c>
      <c r="O10" s="78" t="e">
        <f t="shared" si="7"/>
        <v>#DIV/0!</v>
      </c>
      <c r="P10" s="232">
        <f t="shared" si="7"/>
        <v>3.6123660706554622E-2</v>
      </c>
      <c r="Q10" s="79" t="e">
        <f t="shared" si="7"/>
        <v>#DIV/0!</v>
      </c>
      <c r="R10" s="62"/>
      <c r="S10" s="40"/>
      <c r="T10" s="62"/>
      <c r="U10" s="40"/>
      <c r="V10" s="62"/>
      <c r="W10" s="40"/>
      <c r="X10" s="81"/>
      <c r="Y10" s="81"/>
      <c r="Z10" s="81"/>
      <c r="AA10" s="40"/>
      <c r="AB10" s="62"/>
      <c r="AC10" s="40"/>
      <c r="AD10" s="82">
        <f>(H9-F9)/F9</f>
        <v>1.2152777777777816E-2</v>
      </c>
      <c r="AE10" s="40"/>
      <c r="AF10" s="46"/>
      <c r="AJ10" s="20"/>
    </row>
    <row r="11" spans="1:36" x14ac:dyDescent="0.25">
      <c r="A11" s="27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62">
        <f>(F9-D9)/D9</f>
        <v>5.109489051094887E-2</v>
      </c>
      <c r="AE11" s="40"/>
      <c r="AF11" s="46"/>
    </row>
    <row r="12" spans="1:36" x14ac:dyDescent="0.25"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83">
        <f>AVERAGE(AD10:AD11)</f>
        <v>3.1623834144363344E-2</v>
      </c>
      <c r="AE12" s="40"/>
      <c r="AF12" s="46"/>
    </row>
    <row r="13" spans="1:36" x14ac:dyDescent="0.25"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6"/>
    </row>
    <row r="14" spans="1:36" x14ac:dyDescent="0.25"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6"/>
    </row>
    <row r="15" spans="1:36" x14ac:dyDescent="0.25"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6"/>
    </row>
    <row r="16" spans="1:36" x14ac:dyDescent="0.25"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6"/>
    </row>
    <row r="17" spans="3:32" x14ac:dyDescent="0.25"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6"/>
    </row>
    <row r="18" spans="3:32" x14ac:dyDescent="0.25"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6"/>
    </row>
    <row r="19" spans="3:32" x14ac:dyDescent="0.25"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6"/>
    </row>
    <row r="20" spans="3:32" x14ac:dyDescent="0.25"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6"/>
    </row>
    <row r="21" spans="3:32" x14ac:dyDescent="0.25"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6"/>
    </row>
    <row r="22" spans="3:32" x14ac:dyDescent="0.25"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6"/>
    </row>
    <row r="23" spans="3:32" x14ac:dyDescent="0.25">
      <c r="C23" s="40" t="s">
        <v>41</v>
      </c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6"/>
    </row>
    <row r="24" spans="3:32" x14ac:dyDescent="0.25">
      <c r="C24" s="40" t="s">
        <v>41</v>
      </c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6"/>
    </row>
    <row r="25" spans="3:32" x14ac:dyDescent="0.25">
      <c r="C25" s="40" t="s">
        <v>41</v>
      </c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6"/>
    </row>
    <row r="26" spans="3:32" x14ac:dyDescent="0.25"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6"/>
    </row>
    <row r="27" spans="3:32" x14ac:dyDescent="0.25"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6"/>
    </row>
    <row r="28" spans="3:32" x14ac:dyDescent="0.25">
      <c r="C28" s="40" t="s">
        <v>41</v>
      </c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6"/>
    </row>
    <row r="29" spans="3:32" x14ac:dyDescent="0.25">
      <c r="C29" s="40" t="s">
        <v>42</v>
      </c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6"/>
    </row>
    <row r="30" spans="3:32" x14ac:dyDescent="0.25">
      <c r="C30" s="40" t="str">
        <f>C29</f>
        <v>résultat</v>
      </c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6"/>
    </row>
    <row r="31" spans="3:32" ht="15.75" thickBot="1" x14ac:dyDescent="0.3"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9"/>
    </row>
    <row r="33" spans="3:14" x14ac:dyDescent="0.25">
      <c r="C33" t="str">
        <f>C30</f>
        <v>résultat</v>
      </c>
      <c r="L33" s="81"/>
      <c r="M33" s="81"/>
      <c r="N33" s="81"/>
    </row>
    <row r="34" spans="3:14" x14ac:dyDescent="0.25">
      <c r="C34" t="str">
        <f>C33</f>
        <v>résultat</v>
      </c>
    </row>
    <row r="35" spans="3:14" x14ac:dyDescent="0.25">
      <c r="C35" t="str">
        <f>C34</f>
        <v>résultat</v>
      </c>
    </row>
  </sheetData>
  <mergeCells count="29">
    <mergeCell ref="AB2:AC2"/>
    <mergeCell ref="X6:Y6"/>
    <mergeCell ref="Z6:AA6"/>
    <mergeCell ref="AB6:AC6"/>
    <mergeCell ref="T6:U6"/>
    <mergeCell ref="V6:W6"/>
    <mergeCell ref="X2:Y2"/>
    <mergeCell ref="Z2:AA2"/>
    <mergeCell ref="A1:AE1"/>
    <mergeCell ref="B6:C6"/>
    <mergeCell ref="D6:E6"/>
    <mergeCell ref="F6:G6"/>
    <mergeCell ref="H6:I6"/>
    <mergeCell ref="J6:K6"/>
    <mergeCell ref="L6:M6"/>
    <mergeCell ref="B2:C2"/>
    <mergeCell ref="D2:E2"/>
    <mergeCell ref="F2:G2"/>
    <mergeCell ref="H2:I2"/>
    <mergeCell ref="J2:K2"/>
    <mergeCell ref="L2:M2"/>
    <mergeCell ref="N6:O6"/>
    <mergeCell ref="P6:Q6"/>
    <mergeCell ref="R6:S6"/>
    <mergeCell ref="N2:O2"/>
    <mergeCell ref="P2:Q2"/>
    <mergeCell ref="R2:S2"/>
    <mergeCell ref="T2:U2"/>
    <mergeCell ref="V2:W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fonction santé</vt:lpstr>
      <vt:lpstr>Gratuités 2016</vt:lpstr>
      <vt:lpstr>CRM 2016</vt:lpstr>
      <vt:lpstr>assurés 2016</vt:lpstr>
      <vt:lpstr>historique part santé</vt:lpstr>
      <vt:lpstr>CNS - web</vt:lpstr>
      <vt:lpstr>structure financement santé</vt:lpstr>
      <vt:lpstr>Hypothèse AMU</vt:lpstr>
      <vt:lpstr>Population &amp; évolution coût AMU</vt:lpstr>
      <vt:lpstr>Ressource - dépenses et gap AMU</vt:lpstr>
      <vt:lpstr>Projection AMU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Bigeard, Mr Alexis - bf</dc:creator>
  <cp:lastModifiedBy>Bigeard, Mr Alexis - bf</cp:lastModifiedBy>
  <dcterms:created xsi:type="dcterms:W3CDTF">2013-04-05T09:26:35Z</dcterms:created>
  <dcterms:modified xsi:type="dcterms:W3CDTF">2017-09-29T22:21:12Z</dcterms:modified>
</cp:coreProperties>
</file>