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calcId="145621"/>
</workbook>
</file>

<file path=xl/sharedStrings.xml><?xml version="1.0" encoding="utf-8"?>
<sst xmlns="http://schemas.openxmlformats.org/spreadsheetml/2006/main" count="815" uniqueCount="298">
  <si>
    <t>Cost of managing different diseases / health conditions</t>
  </si>
  <si>
    <t xml:space="preserve">List of diseases / health conditions </t>
  </si>
  <si>
    <t>Man Power</t>
  </si>
  <si>
    <t>Equipment</t>
  </si>
  <si>
    <t>Test</t>
  </si>
  <si>
    <t>Drugs</t>
  </si>
  <si>
    <t>System Cost</t>
  </si>
  <si>
    <t>Total Cost</t>
  </si>
  <si>
    <t>A.</t>
  </si>
  <si>
    <t>Childhood diseases / health conditions</t>
  </si>
  <si>
    <t>Per capita</t>
  </si>
  <si>
    <t>Immunisation</t>
  </si>
  <si>
    <t>Birth asphyxia</t>
  </si>
  <si>
    <t>Neonatal sepsis</t>
  </si>
  <si>
    <t>Low birth weight (   Bwt 1500-1800g   )</t>
  </si>
  <si>
    <t>Low birth weight (   Bwt 1800-2500g   )</t>
  </si>
  <si>
    <r>
      <t>Acute Respiratory Infections :</t>
    </r>
    <r>
      <rPr>
        <b/>
        <sz val="10"/>
        <rFont val="Arial"/>
        <family val="2"/>
      </rPr>
      <t xml:space="preserve"> Pneumonia</t>
    </r>
  </si>
  <si>
    <r>
      <t xml:space="preserve">Acute Respiratory Infections: </t>
    </r>
    <r>
      <rPr>
        <b/>
        <sz val="10"/>
        <rFont val="Arial"/>
        <family val="2"/>
      </rPr>
      <t>Severe pneumonia</t>
    </r>
  </si>
  <si>
    <t>Diarrhoea       :  With some dehydration</t>
  </si>
  <si>
    <t xml:space="preserve">Diarrhoea        : With  Severe dehydration </t>
  </si>
  <si>
    <t>Dysentery</t>
  </si>
  <si>
    <t>Malnutrition</t>
  </si>
  <si>
    <t/>
  </si>
  <si>
    <t>B</t>
  </si>
  <si>
    <t>Maternal diseases / health conditions</t>
  </si>
  <si>
    <t>ANC</t>
  </si>
  <si>
    <t xml:space="preserve">Normal delivery (85%)  </t>
  </si>
  <si>
    <t xml:space="preserve">Assisted Delivery (intrumental) </t>
  </si>
  <si>
    <t>Obstructed labour</t>
  </si>
  <si>
    <t>Cesarean Section</t>
  </si>
  <si>
    <t>Post Natal Care ( upto 7 days)</t>
  </si>
  <si>
    <t>Puerperal sepsis</t>
  </si>
  <si>
    <t>Septic abortion</t>
  </si>
  <si>
    <t>Antepartum hemorrhage</t>
  </si>
  <si>
    <t>Postpartum hemorrhage</t>
  </si>
  <si>
    <t>Eclampsia</t>
  </si>
  <si>
    <t>Premature rupture of membranes</t>
  </si>
  <si>
    <t>Severe anemia</t>
  </si>
  <si>
    <t>Others</t>
  </si>
  <si>
    <t>Uterine Prolapse Screening and conservative mgmt</t>
  </si>
  <si>
    <t>OPD</t>
  </si>
  <si>
    <t xml:space="preserve">Uterine Prolapse surgical management  </t>
  </si>
  <si>
    <t>IPD</t>
  </si>
  <si>
    <t xml:space="preserve">Cx cancer screening* </t>
  </si>
  <si>
    <t>* Pap smear and cervical USG</t>
  </si>
  <si>
    <t xml:space="preserve">Cx cancer Cryo therapy </t>
  </si>
  <si>
    <t>Medical examination for Breast cancer screening*</t>
  </si>
  <si>
    <t>* Chest X-Ray and USG</t>
  </si>
  <si>
    <t>C.</t>
  </si>
  <si>
    <t>Family Planning</t>
  </si>
  <si>
    <t>MTP</t>
  </si>
  <si>
    <t>IUD insertion</t>
  </si>
  <si>
    <t>Oral contraceptives</t>
  </si>
  <si>
    <t>Condoms</t>
  </si>
  <si>
    <t>Sterilization</t>
  </si>
  <si>
    <t>Vasectomy</t>
  </si>
  <si>
    <t>D.</t>
  </si>
  <si>
    <t>Communicable Diseases</t>
  </si>
  <si>
    <t>D.1</t>
  </si>
  <si>
    <t>Leprosy</t>
  </si>
  <si>
    <t>Paucibacillary</t>
  </si>
  <si>
    <t>Multibacillary</t>
  </si>
  <si>
    <t>D.2</t>
  </si>
  <si>
    <t>Tuberculosis</t>
  </si>
  <si>
    <t>New sputum positive</t>
  </si>
  <si>
    <t>New sputum negative</t>
  </si>
  <si>
    <t>Treatment after default / Retreatment / Failure</t>
  </si>
  <si>
    <t>Extrapulmonary</t>
  </si>
  <si>
    <t xml:space="preserve">Multi Drug Resistanat </t>
  </si>
  <si>
    <t>Extensive Drug Resistanat (limited distrcits at present)</t>
  </si>
  <si>
    <t>D.3</t>
  </si>
  <si>
    <t>Vector borne diseases</t>
  </si>
  <si>
    <t>Malaria       :     P. falciparum</t>
  </si>
  <si>
    <t>Malaria       :    Complicated</t>
  </si>
  <si>
    <t>Malaria        :    P. vivax and P. ovale</t>
  </si>
  <si>
    <t xml:space="preserve">Dengue </t>
  </si>
  <si>
    <t xml:space="preserve"> Dengue Fever</t>
  </si>
  <si>
    <t>Dengue Hemorrhagic Fever</t>
  </si>
  <si>
    <t>Kala azar</t>
  </si>
  <si>
    <t>Japanese encephalitis</t>
  </si>
  <si>
    <t>Lymphatic filariasis</t>
  </si>
  <si>
    <t>D.4 Hpatitis</t>
  </si>
  <si>
    <t>Hepatitis A</t>
  </si>
  <si>
    <t>Hepatitis B</t>
  </si>
  <si>
    <t>D.5</t>
  </si>
  <si>
    <t>HIV infection / AIDS</t>
  </si>
  <si>
    <t xml:space="preserve">First line Therapy </t>
  </si>
  <si>
    <t xml:space="preserve">Second line Therapy </t>
  </si>
  <si>
    <t>RTI/STIs</t>
  </si>
  <si>
    <t>E.</t>
  </si>
  <si>
    <t>Chest</t>
  </si>
  <si>
    <t>Chronic Obstructive Pulmonary Disease</t>
  </si>
  <si>
    <t>E.1</t>
  </si>
  <si>
    <t>Asthma</t>
  </si>
  <si>
    <t>Acute asthma</t>
  </si>
  <si>
    <t>Chronic asthma</t>
  </si>
  <si>
    <t>E.2</t>
  </si>
  <si>
    <t>Chest- Other</t>
  </si>
  <si>
    <t>UTRI</t>
  </si>
  <si>
    <t>Pneumonia</t>
  </si>
  <si>
    <t>Pnemothorax</t>
  </si>
  <si>
    <t xml:space="preserve">Plural effusion </t>
  </si>
  <si>
    <t>F.</t>
  </si>
  <si>
    <t>Diabetes mellitus</t>
  </si>
  <si>
    <t>Without insulin</t>
  </si>
  <si>
    <t>With insulin</t>
  </si>
  <si>
    <t>G.</t>
  </si>
  <si>
    <t>Acute Hypertensive stroke</t>
  </si>
  <si>
    <t>H</t>
  </si>
  <si>
    <t>Cardiovascular diseases</t>
  </si>
  <si>
    <t>H.1</t>
  </si>
  <si>
    <t xml:space="preserve">            Coronary Artery Disease</t>
  </si>
  <si>
    <t>Incident cases</t>
  </si>
  <si>
    <t>Prevalent cases</t>
  </si>
  <si>
    <t xml:space="preserve">            Rheumatic Heart Disease</t>
  </si>
  <si>
    <t>H.2</t>
  </si>
  <si>
    <t xml:space="preserve">           Hypertension</t>
  </si>
  <si>
    <t>With diet &amp; exercise</t>
  </si>
  <si>
    <t>With one drug</t>
  </si>
  <si>
    <t>With two drugs</t>
  </si>
  <si>
    <t>Congestive Heart Failure (Primary Treatment)</t>
  </si>
  <si>
    <t>Myocardial Infraction (medical treatment)</t>
  </si>
  <si>
    <t xml:space="preserve">Simple Arythmia </t>
  </si>
  <si>
    <t>I.</t>
  </si>
  <si>
    <t>Cancers</t>
  </si>
  <si>
    <t>Breast cancer</t>
  </si>
  <si>
    <t>Cancer of cervix</t>
  </si>
  <si>
    <t>Lung cancer</t>
  </si>
  <si>
    <t>Stomach cancer</t>
  </si>
  <si>
    <t>J.</t>
  </si>
  <si>
    <t>Gastrointestinal</t>
  </si>
  <si>
    <t>Peptic Ulcer Disease (Clinical dignosis and drug treatment)</t>
  </si>
  <si>
    <t>Peptic Ulcer Disease (Endoscopy and drug treatment)</t>
  </si>
  <si>
    <t>Cholecystitis (conservative management)</t>
  </si>
  <si>
    <t>Emergency</t>
  </si>
  <si>
    <t>Pancreatitis(conservative management)</t>
  </si>
  <si>
    <t>Appendicitis (conservative management)</t>
  </si>
  <si>
    <t>Intestinal obstruction (conservative management)</t>
  </si>
  <si>
    <t>Peritonities  (conservative management)</t>
  </si>
  <si>
    <t>EYE</t>
  </si>
  <si>
    <t>Eye check up</t>
  </si>
  <si>
    <t>Refraction check up</t>
  </si>
  <si>
    <t>Foreign body</t>
  </si>
  <si>
    <t>Simple infection (conjuctivitis, Stye)</t>
  </si>
  <si>
    <t>Blindness due to refractive errors &amp; Low Vision</t>
  </si>
  <si>
    <t>K.</t>
  </si>
  <si>
    <t>Dental diseases / health conditions</t>
  </si>
  <si>
    <t>Dental caries</t>
  </si>
  <si>
    <t>Periodontal diseases</t>
  </si>
  <si>
    <t>Admin Costs</t>
  </si>
  <si>
    <t>Dentofacial anomalies and malocclusion</t>
  </si>
  <si>
    <t>Dental fluorosis</t>
  </si>
  <si>
    <t>L.</t>
  </si>
  <si>
    <t>ENT</t>
  </si>
  <si>
    <t xml:space="preserve">Acute otitis media </t>
  </si>
  <si>
    <t xml:space="preserve">Chronic otitis media </t>
  </si>
  <si>
    <t>Foreign body/Wax removal</t>
  </si>
  <si>
    <t xml:space="preserve">Hearing test </t>
  </si>
  <si>
    <t>M.</t>
  </si>
  <si>
    <t>Nose</t>
  </si>
  <si>
    <t>Rhinitis</t>
  </si>
  <si>
    <t>Sinusitis</t>
  </si>
  <si>
    <t>Epistaxis</t>
  </si>
  <si>
    <t>N.</t>
  </si>
  <si>
    <t>Throat</t>
  </si>
  <si>
    <t>Pharengitis</t>
  </si>
  <si>
    <t>Tonsilitis</t>
  </si>
  <si>
    <t>Laryngitis</t>
  </si>
  <si>
    <t>O.</t>
  </si>
  <si>
    <t>Head</t>
  </si>
  <si>
    <t xml:space="preserve">Meningitis </t>
  </si>
  <si>
    <t xml:space="preserve">Migrane headache </t>
  </si>
  <si>
    <t>P.</t>
  </si>
  <si>
    <t xml:space="preserve">Renal </t>
  </si>
  <si>
    <t>Acute Nephritis</t>
  </si>
  <si>
    <t>Nephrotic Syndrome (negative to be defined)</t>
  </si>
  <si>
    <t>Urinary Tract Infection</t>
  </si>
  <si>
    <t>Q.</t>
  </si>
  <si>
    <t>Male genital</t>
  </si>
  <si>
    <t>Orchitis</t>
  </si>
  <si>
    <t>Phimosis/Paraphimosis</t>
  </si>
  <si>
    <t>Hydrocele (Conservative Management)</t>
  </si>
  <si>
    <t>R.</t>
  </si>
  <si>
    <t>Female Genital</t>
  </si>
  <si>
    <t>DUB</t>
  </si>
  <si>
    <t xml:space="preserve">Perimenopausal syndrome </t>
  </si>
  <si>
    <t>S.</t>
  </si>
  <si>
    <t>Mental diseases / health conditions</t>
  </si>
  <si>
    <t>Anxiety</t>
  </si>
  <si>
    <t>Depression</t>
  </si>
  <si>
    <t>S.2</t>
  </si>
  <si>
    <t>Schizophrenia</t>
  </si>
  <si>
    <t>Without Hospitalisation</t>
  </si>
  <si>
    <t>With  Hospitalisation of 10 Days in 5%</t>
  </si>
  <si>
    <t>Mood / Bipolar disorders</t>
  </si>
  <si>
    <t>S.3</t>
  </si>
  <si>
    <t>Common Mental disorders</t>
  </si>
  <si>
    <t>S.4</t>
  </si>
  <si>
    <t>Alcohol and drug abuse</t>
  </si>
  <si>
    <t>With  Hospitalisation of 10 Days in 50%</t>
  </si>
  <si>
    <t xml:space="preserve">Child and adolescent psychiatric disorders </t>
  </si>
  <si>
    <t>Mental Retardation</t>
  </si>
  <si>
    <t>Geriatric problems including Dementia</t>
  </si>
  <si>
    <t>Epilepsy</t>
  </si>
  <si>
    <t>Limbs</t>
  </si>
  <si>
    <t>Arthritis (medical treatment)</t>
  </si>
  <si>
    <t>Osteomylitis (medical treatment)</t>
  </si>
  <si>
    <t>Gout / RA</t>
  </si>
  <si>
    <t>Joint pain</t>
  </si>
  <si>
    <t>Muscle pain/ Stiff neck/ Back pain</t>
  </si>
  <si>
    <t>Simple Fracture ( MUA + POP)</t>
  </si>
  <si>
    <t>Cervical /Lumber spondolosis (conservative management)</t>
  </si>
  <si>
    <t>Minor injuries including falls</t>
  </si>
  <si>
    <t>Snake bite</t>
  </si>
  <si>
    <t>Other minor ailments (like aches, scabies, worms, boils)</t>
  </si>
  <si>
    <t>Poisoning (Lavage and antidot) - Homocidal only</t>
  </si>
  <si>
    <t xml:space="preserve">Burn management </t>
  </si>
  <si>
    <t xml:space="preserve">Minor Surgery </t>
  </si>
  <si>
    <t xml:space="preserve">Suture </t>
  </si>
  <si>
    <t xml:space="preserve">Shoulder, elbow and hip dislocation </t>
  </si>
  <si>
    <t xml:space="preserve">Simple amputation </t>
  </si>
  <si>
    <t xml:space="preserve">Burn clean dressing and graft </t>
  </si>
  <si>
    <t xml:space="preserve">Incesion and drainage </t>
  </si>
  <si>
    <t>Cyst, Lump, Lipoma (including Batholyn cyst)</t>
  </si>
  <si>
    <t>Impacted Nail</t>
  </si>
  <si>
    <t>Cicumcision</t>
  </si>
  <si>
    <t xml:space="preserve">Hydrocele </t>
  </si>
  <si>
    <t xml:space="preserve">Simple hernia </t>
  </si>
  <si>
    <t>Hemorrhoid excision</t>
  </si>
  <si>
    <t>Polyp (Nasal, Cervical, Simple Rectal)</t>
  </si>
  <si>
    <t>Ear loab repair</t>
  </si>
  <si>
    <t>Implant</t>
  </si>
  <si>
    <t>Major Surgery</t>
  </si>
  <si>
    <t>Cataract surgery operations</t>
  </si>
  <si>
    <t>Appendicectomy</t>
  </si>
  <si>
    <t xml:space="preserve">Cholecystectomy </t>
  </si>
  <si>
    <t>Complecated hernia</t>
  </si>
  <si>
    <t>Urinary Bladder Calculus</t>
  </si>
  <si>
    <t xml:space="preserve">Ectopic Pregnanacy </t>
  </si>
  <si>
    <t xml:space="preserve">Additional </t>
  </si>
  <si>
    <t xml:space="preserve">Health education, information &amp; counselling (at health facilities only) - verbal counseling only </t>
  </si>
  <si>
    <t xml:space="preserve">Palliative care for cancer patients </t>
  </si>
  <si>
    <t xml:space="preserve">Physiotherapy counseling </t>
  </si>
  <si>
    <t>Immunization (EPI)</t>
  </si>
  <si>
    <t>Diarrhoea</t>
  </si>
  <si>
    <t>With some dehydration</t>
  </si>
  <si>
    <t>With severe dehydration</t>
  </si>
  <si>
    <t>ARI- Pneumonia without hospitalization</t>
  </si>
  <si>
    <t>ARI- Pneumonia with hospitalization</t>
  </si>
  <si>
    <t>ARI - severe pneumonia</t>
  </si>
  <si>
    <t>Low birth weight</t>
  </si>
  <si>
    <t>Less than 1800</t>
  </si>
  <si>
    <t>1800-2500 g</t>
  </si>
  <si>
    <t>Malnutrition (severe)</t>
  </si>
  <si>
    <t>Postpartum hemorhage</t>
  </si>
  <si>
    <t xml:space="preserve">Cx cancer screening </t>
  </si>
  <si>
    <t xml:space="preserve">Medical examination for Breast cancer screening </t>
  </si>
  <si>
    <t>Depo</t>
  </si>
  <si>
    <t xml:space="preserve">Obstructed labour </t>
  </si>
  <si>
    <t>Obstructed labour (repeted)</t>
  </si>
  <si>
    <t>TB</t>
  </si>
  <si>
    <t>Leprosy treatment reaction</t>
  </si>
  <si>
    <t xml:space="preserve">Rehablitation care </t>
  </si>
  <si>
    <t>Malaria</t>
  </si>
  <si>
    <t>Simple Malaria (Ex P Vivax</t>
  </si>
  <si>
    <t>Complicated malaria (P Falciparum)</t>
  </si>
  <si>
    <t>Dengue fever</t>
  </si>
  <si>
    <t>Dengue hemorrhagic fever</t>
  </si>
  <si>
    <t xml:space="preserve">Tetanus </t>
  </si>
  <si>
    <t xml:space="preserve">Sesonal Flu </t>
  </si>
  <si>
    <t>RTIs / STIs (including Cervical erosion)</t>
  </si>
  <si>
    <t>Hepatitis</t>
  </si>
  <si>
    <t>Tretment for Hep A and Hep B</t>
  </si>
  <si>
    <t>Conservative management of head injury (upto Mannitol Treatment)</t>
  </si>
  <si>
    <t>Oral Health</t>
  </si>
  <si>
    <t>Oral and dental check up</t>
  </si>
  <si>
    <t xml:space="preserve">Simple extraction </t>
  </si>
  <si>
    <t>Chronic otitis media</t>
  </si>
  <si>
    <t xml:space="preserve">Chest </t>
  </si>
  <si>
    <t>Bronchitis</t>
  </si>
  <si>
    <t>Asthma (Acute - emergency and routine drugs)</t>
  </si>
  <si>
    <t>Chronic Obstructive Pulmonary Disease (upto OPD Management - nebulizer during emergency)</t>
  </si>
  <si>
    <t>CVD</t>
  </si>
  <si>
    <t>Hypertension</t>
  </si>
  <si>
    <t>Coronary Artery Disease (High cholesterol - drug)</t>
  </si>
  <si>
    <t>Rheumatic Heart Disease (prevention)</t>
  </si>
  <si>
    <t>Acute Hypertensive Stroke (conservative)</t>
  </si>
  <si>
    <t xml:space="preserve">Primary treatment for CCF </t>
  </si>
  <si>
    <t>Mental health</t>
  </si>
  <si>
    <t>Without hospitalization</t>
  </si>
  <si>
    <t>With hospitalization (emergency)</t>
  </si>
  <si>
    <t>Mood / bipolar disorders</t>
  </si>
  <si>
    <t>Common Mental disorders (including psycosis)</t>
  </si>
  <si>
    <t>Child &amp; adolescent psychiatric disorders</t>
  </si>
  <si>
    <t>Geriatric problems including dementia</t>
  </si>
  <si>
    <t>Minilap</t>
  </si>
  <si>
    <t>Manual Vaccum Aspiration (PAC)</t>
  </si>
  <si>
    <t>List of diseases / health conditions  (Nepal file)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</si>
</sst>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 * #,##0.0_ ;_ * \-#,##0.0_ ;_ * &quot;-&quot;??_ ;_ @_ "/>
    <numFmt numFmtId="166" formatCode="_(* #,##0_);_(* \(#,##0\);_(* &quot;-&quot;??_);_(@_)"/>
    <numFmt numFmtId="167" formatCode="0.0"/>
    <numFmt numFmtId="168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u val="single"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3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18" applyBorder="1" applyAlignment="1">
      <alignment horizontal="center"/>
    </xf>
    <xf numFmtId="164" fontId="0" fillId="0" borderId="3" xfId="18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164" fontId="0" fillId="0" borderId="5" xfId="18" applyBorder="1"/>
    <xf numFmtId="164" fontId="0" fillId="0" borderId="6" xfId="18" applyBorder="1"/>
    <xf numFmtId="0" fontId="4" fillId="0" borderId="1" xfId="0" applyFont="1" applyBorder="1"/>
    <xf numFmtId="0" fontId="4" fillId="0" borderId="2" xfId="0" applyFont="1" applyBorder="1"/>
    <xf numFmtId="164" fontId="4" fillId="0" borderId="2" xfId="18" applyFont="1" applyBorder="1"/>
    <xf numFmtId="164" fontId="4" fillId="0" borderId="3" xfId="18" applyFont="1" applyBorder="1"/>
    <xf numFmtId="0" fontId="0" fillId="2" borderId="7" xfId="0" applyFill="1" applyBorder="1"/>
    <xf numFmtId="0" fontId="1" fillId="2" borderId="5" xfId="0" applyFont="1" applyFill="1" applyBorder="1"/>
    <xf numFmtId="0" fontId="4" fillId="2" borderId="5" xfId="0" applyFont="1" applyFill="1" applyBorder="1"/>
    <xf numFmtId="164" fontId="0" fillId="2" borderId="0" xfId="18" applyFill="1" applyBorder="1"/>
    <xf numFmtId="0" fontId="0" fillId="2" borderId="0" xfId="0" applyFill="1" applyBorder="1" applyAlignment="1">
      <alignment horizontal="center"/>
    </xf>
    <xf numFmtId="164" fontId="0" fillId="2" borderId="0" xfId="18" applyFill="1" applyBorder="1" applyAlignment="1">
      <alignment horizontal="center"/>
    </xf>
    <xf numFmtId="0" fontId="0" fillId="2" borderId="0" xfId="0" applyFill="1"/>
    <xf numFmtId="0" fontId="0" fillId="0" borderId="8" xfId="0" applyBorder="1"/>
    <xf numFmtId="0" fontId="0" fillId="0" borderId="9" xfId="0" applyBorder="1" applyAlignment="1">
      <alignment/>
    </xf>
    <xf numFmtId="43" fontId="0" fillId="0" borderId="9" xfId="18" applyNumberFormat="1" applyBorder="1" applyAlignment="1">
      <alignment horizontal="left" indent="3"/>
    </xf>
    <xf numFmtId="164" fontId="0" fillId="0" borderId="9" xfId="18" applyBorder="1" applyAlignment="1">
      <alignment horizontal="left" indent="3"/>
    </xf>
    <xf numFmtId="164" fontId="0" fillId="0" borderId="10" xfId="18" applyBorder="1" applyAlignment="1">
      <alignment horizontal="left" indent="3"/>
    </xf>
    <xf numFmtId="164" fontId="0" fillId="0" borderId="0" xfId="0" applyNumberFormat="1"/>
    <xf numFmtId="2" fontId="0" fillId="0" borderId="0" xfId="0" applyNumberFormat="1"/>
    <xf numFmtId="0" fontId="0" fillId="0" borderId="11" xfId="0" applyBorder="1" applyAlignment="1">
      <alignment horizontal="left"/>
    </xf>
    <xf numFmtId="43" fontId="0" fillId="0" borderId="11" xfId="18" applyNumberFormat="1" applyBorder="1" applyAlignment="1">
      <alignment horizontal="left" indent="3"/>
    </xf>
    <xf numFmtId="164" fontId="0" fillId="0" borderId="11" xfId="18" applyBorder="1" applyAlignment="1">
      <alignment horizontal="left" indent="3"/>
    </xf>
    <xf numFmtId="164" fontId="0" fillId="0" borderId="12" xfId="18" applyBorder="1" applyAlignment="1">
      <alignment horizontal="left" indent="3"/>
    </xf>
    <xf numFmtId="165" fontId="0" fillId="0" borderId="0" xfId="0" applyNumberFormat="1"/>
    <xf numFmtId="0" fontId="0" fillId="0" borderId="11" xfId="0" applyBorder="1" applyAlignment="1">
      <alignment/>
    </xf>
    <xf numFmtId="2" fontId="1" fillId="0" borderId="0" xfId="20" applyNumberFormat="1" applyFont="1" applyBorder="1"/>
    <xf numFmtId="0" fontId="0" fillId="0" borderId="4" xfId="0" applyFill="1" applyBorder="1"/>
    <xf numFmtId="0" fontId="0" fillId="0" borderId="13" xfId="0" applyBorder="1"/>
    <xf numFmtId="0" fontId="0" fillId="0" borderId="14" xfId="0" applyBorder="1" applyAlignment="1">
      <alignment horizontal="left"/>
    </xf>
    <xf numFmtId="43" fontId="0" fillId="0" borderId="14" xfId="18" applyNumberFormat="1" applyBorder="1"/>
    <xf numFmtId="164" fontId="0" fillId="0" borderId="14" xfId="18" applyBorder="1"/>
    <xf numFmtId="164" fontId="0" fillId="0" borderId="15" xfId="18" applyBorder="1"/>
    <xf numFmtId="164" fontId="0" fillId="0" borderId="0" xfId="0" applyNumberFormat="1" applyBorder="1"/>
    <xf numFmtId="0" fontId="0" fillId="0" borderId="7" xfId="0" applyBorder="1"/>
    <xf numFmtId="0" fontId="5" fillId="2" borderId="11" xfId="21" applyFont="1" applyFill="1" applyBorder="1" applyAlignment="1">
      <alignment horizontal="left" wrapText="1" indent="1"/>
      <protection/>
    </xf>
    <xf numFmtId="0" fontId="5" fillId="2" borderId="11" xfId="21" applyFont="1" applyFill="1" applyBorder="1" applyAlignment="1">
      <alignment horizontal="center" vertical="center" wrapText="1"/>
      <protection/>
    </xf>
    <xf numFmtId="0" fontId="5" fillId="2" borderId="11" xfId="21" applyFont="1" applyFill="1" applyBorder="1">
      <alignment/>
      <protection/>
    </xf>
    <xf numFmtId="2" fontId="5" fillId="2" borderId="11" xfId="21" applyNumberFormat="1" applyFont="1" applyFill="1" applyBorder="1">
      <alignment/>
      <protection/>
    </xf>
    <xf numFmtId="166" fontId="5" fillId="2" borderId="11" xfId="20" applyNumberFormat="1" applyFont="1" applyFill="1" applyBorder="1"/>
    <xf numFmtId="0" fontId="5" fillId="2" borderId="0" xfId="21" applyFont="1" applyFill="1">
      <alignment/>
      <protection/>
    </xf>
    <xf numFmtId="2" fontId="5" fillId="2" borderId="0" xfId="21" applyNumberFormat="1" applyFont="1" applyFill="1">
      <alignment/>
      <protection/>
    </xf>
    <xf numFmtId="166" fontId="5" fillId="2" borderId="11" xfId="21" applyNumberFormat="1" applyFont="1" applyFill="1" applyBorder="1">
      <alignment/>
      <protection/>
    </xf>
    <xf numFmtId="0" fontId="5" fillId="2" borderId="0" xfId="21" applyFont="1" applyFill="1" applyBorder="1">
      <alignment/>
      <protection/>
    </xf>
    <xf numFmtId="43" fontId="6" fillId="2" borderId="11" xfId="21" applyNumberFormat="1" applyFont="1" applyFill="1" applyBorder="1">
      <alignment/>
      <protection/>
    </xf>
    <xf numFmtId="2" fontId="6" fillId="2" borderId="11" xfId="21" applyNumberFormat="1" applyFont="1" applyFill="1" applyBorder="1">
      <alignment/>
      <protection/>
    </xf>
    <xf numFmtId="0" fontId="6" fillId="2" borderId="0" xfId="21" applyFont="1" applyFill="1">
      <alignment/>
      <protection/>
    </xf>
    <xf numFmtId="2" fontId="6" fillId="2" borderId="0" xfId="21" applyNumberFormat="1" applyFont="1" applyFill="1">
      <alignment/>
      <protection/>
    </xf>
    <xf numFmtId="167" fontId="5" fillId="2" borderId="11" xfId="21" applyNumberFormat="1" applyFont="1" applyFill="1" applyBorder="1">
      <alignment/>
      <protection/>
    </xf>
    <xf numFmtId="164" fontId="5" fillId="2" borderId="11" xfId="21" applyNumberFormat="1" applyFont="1" applyFill="1" applyBorder="1">
      <alignment/>
      <protection/>
    </xf>
    <xf numFmtId="43" fontId="1" fillId="0" borderId="11" xfId="20" applyBorder="1" applyAlignment="1">
      <alignment horizontal="center"/>
    </xf>
    <xf numFmtId="1" fontId="0" fillId="0" borderId="11" xfId="0" applyNumberFormat="1" applyBorder="1" applyAlignment="1">
      <alignment horizontal="center"/>
    </xf>
    <xf numFmtId="43" fontId="0" fillId="0" borderId="9" xfId="0" applyNumberFormat="1" applyBorder="1" applyAlignment="1">
      <alignment horizontal="left" indent="3"/>
    </xf>
    <xf numFmtId="43" fontId="0" fillId="0" borderId="11" xfId="0" applyNumberFormat="1" applyBorder="1" applyAlignment="1">
      <alignment horizontal="left" indent="3"/>
    </xf>
    <xf numFmtId="2" fontId="0" fillId="0" borderId="0" xfId="0" applyNumberFormat="1" applyBorder="1"/>
    <xf numFmtId="0" fontId="0" fillId="2" borderId="13" xfId="0" applyFill="1" applyBorder="1"/>
    <xf numFmtId="0" fontId="0" fillId="2" borderId="14" xfId="0" applyFill="1" applyBorder="1"/>
    <xf numFmtId="1" fontId="0" fillId="0" borderId="11" xfId="0" applyNumberFormat="1" applyBorder="1"/>
    <xf numFmtId="1" fontId="0" fillId="2" borderId="0" xfId="0" applyNumberFormat="1" applyFill="1" applyBorder="1"/>
    <xf numFmtId="1" fontId="0" fillId="2" borderId="14" xfId="18" applyNumberFormat="1" applyFill="1" applyBorder="1"/>
    <xf numFmtId="1" fontId="0" fillId="2" borderId="15" xfId="18" applyNumberFormat="1" applyFill="1" applyBorder="1"/>
    <xf numFmtId="164" fontId="0" fillId="2" borderId="0" xfId="0" applyNumberFormat="1" applyFill="1"/>
    <xf numFmtId="164" fontId="0" fillId="2" borderId="0" xfId="0" applyNumberFormat="1" applyFill="1" applyBorder="1"/>
    <xf numFmtId="2" fontId="0" fillId="2" borderId="0" xfId="0" applyNumberFormat="1" applyFill="1" applyBorder="1"/>
    <xf numFmtId="165" fontId="0" fillId="2" borderId="0" xfId="0" applyNumberFormat="1" applyFill="1"/>
    <xf numFmtId="0" fontId="4" fillId="2" borderId="4" xfId="0" applyFont="1" applyFill="1" applyBorder="1"/>
    <xf numFmtId="0" fontId="0" fillId="2" borderId="0" xfId="0" applyFill="1" applyBorder="1"/>
    <xf numFmtId="1" fontId="0" fillId="2" borderId="0" xfId="18" applyNumberFormat="1" applyFill="1" applyBorder="1"/>
    <xf numFmtId="1" fontId="4" fillId="2" borderId="5" xfId="0" applyNumberFormat="1" applyFont="1" applyFill="1" applyBorder="1"/>
    <xf numFmtId="1" fontId="4" fillId="2" borderId="5" xfId="18" applyNumberFormat="1" applyFont="1" applyFill="1" applyBorder="1"/>
    <xf numFmtId="1" fontId="4" fillId="2" borderId="6" xfId="18" applyNumberFormat="1" applyFont="1" applyFill="1" applyBorder="1"/>
    <xf numFmtId="43" fontId="4" fillId="2" borderId="5" xfId="0" applyNumberFormat="1" applyFont="1" applyFill="1" applyBorder="1"/>
    <xf numFmtId="164" fontId="4" fillId="2" borderId="5" xfId="18" applyFont="1" applyFill="1" applyBorder="1"/>
    <xf numFmtId="168" fontId="4" fillId="2" borderId="6" xfId="18" applyNumberFormat="1" applyFont="1" applyFill="1" applyBorder="1"/>
    <xf numFmtId="166" fontId="4" fillId="2" borderId="5" xfId="0" applyNumberFormat="1" applyFont="1" applyFill="1" applyBorder="1"/>
    <xf numFmtId="166" fontId="0" fillId="2" borderId="0" xfId="0" applyNumberFormat="1" applyFill="1" applyBorder="1"/>
    <xf numFmtId="166" fontId="4" fillId="2" borderId="5" xfId="18" applyNumberFormat="1" applyFont="1" applyFill="1" applyBorder="1"/>
    <xf numFmtId="164" fontId="4" fillId="2" borderId="6" xfId="18" applyFont="1" applyFill="1" applyBorder="1"/>
    <xf numFmtId="2" fontId="0" fillId="2" borderId="0" xfId="0" applyNumberFormat="1" applyFill="1"/>
    <xf numFmtId="0" fontId="0" fillId="0" borderId="0" xfId="0" applyBorder="1"/>
    <xf numFmtId="0" fontId="4" fillId="0" borderId="5" xfId="0" applyFont="1" applyBorder="1"/>
    <xf numFmtId="43" fontId="4" fillId="0" borderId="5" xfId="0" applyNumberFormat="1" applyFont="1" applyBorder="1"/>
    <xf numFmtId="164" fontId="4" fillId="0" borderId="5" xfId="18" applyFont="1" applyBorder="1"/>
    <xf numFmtId="164" fontId="4" fillId="0" borderId="6" xfId="18" applyFont="1" applyBorder="1"/>
    <xf numFmtId="0" fontId="4" fillId="0" borderId="4" xfId="0" applyFont="1" applyFill="1" applyBorder="1"/>
    <xf numFmtId="0" fontId="0" fillId="2" borderId="11" xfId="0" applyFill="1" applyBorder="1"/>
    <xf numFmtId="43" fontId="1" fillId="2" borderId="11" xfId="20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2" fillId="0" borderId="14" xfId="0" applyFont="1" applyBorder="1"/>
    <xf numFmtId="0" fontId="0" fillId="0" borderId="14" xfId="0" applyBorder="1"/>
    <xf numFmtId="43" fontId="0" fillId="0" borderId="14" xfId="0" applyNumberFormat="1" applyBorder="1"/>
    <xf numFmtId="43" fontId="4" fillId="0" borderId="2" xfId="0" applyNumberFormat="1" applyFont="1" applyBorder="1"/>
    <xf numFmtId="0" fontId="0" fillId="2" borderId="11" xfId="0" applyFill="1" applyBorder="1" applyAlignment="1">
      <alignment/>
    </xf>
    <xf numFmtId="0" fontId="5" fillId="0" borderId="5" xfId="21" applyFont="1" applyBorder="1" applyAlignment="1">
      <alignment horizontal="left" wrapText="1" indent="1"/>
      <protection/>
    </xf>
    <xf numFmtId="43" fontId="0" fillId="0" borderId="5" xfId="0" applyNumberFormat="1" applyBorder="1"/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0" applyNumberFormat="1" applyFont="1" applyFill="1" applyBorder="1"/>
    <xf numFmtId="164" fontId="4" fillId="2" borderId="2" xfId="18" applyFont="1" applyFill="1" applyBorder="1"/>
    <xf numFmtId="164" fontId="1" fillId="0" borderId="2" xfId="18" applyFont="1" applyBorder="1"/>
    <xf numFmtId="164" fontId="1" fillId="0" borderId="3" xfId="18" applyFont="1" applyBorder="1"/>
    <xf numFmtId="0" fontId="4" fillId="0" borderId="4" xfId="0" applyFont="1" applyBorder="1"/>
    <xf numFmtId="164" fontId="1" fillId="0" borderId="5" xfId="18" applyFont="1" applyBorder="1"/>
    <xf numFmtId="164" fontId="1" fillId="0" borderId="6" xfId="18" applyFont="1" applyBorder="1"/>
    <xf numFmtId="165" fontId="0" fillId="0" borderId="0" xfId="0" applyNumberFormat="1" applyBorder="1"/>
    <xf numFmtId="0" fontId="0" fillId="2" borderId="8" xfId="0" applyFill="1" applyBorder="1"/>
    <xf numFmtId="43" fontId="0" fillId="2" borderId="11" xfId="0" applyNumberFormat="1" applyFill="1" applyBorder="1" applyAlignment="1">
      <alignment horizontal="left" indent="3"/>
    </xf>
    <xf numFmtId="164" fontId="0" fillId="2" borderId="11" xfId="18" applyFill="1" applyBorder="1" applyAlignment="1">
      <alignment horizontal="left" indent="3"/>
    </xf>
    <xf numFmtId="164" fontId="0" fillId="2" borderId="12" xfId="18" applyFill="1" applyBorder="1" applyAlignment="1">
      <alignment horizontal="left" indent="3"/>
    </xf>
    <xf numFmtId="0" fontId="0" fillId="0" borderId="16" xfId="0" applyBorder="1"/>
    <xf numFmtId="164" fontId="0" fillId="0" borderId="17" xfId="18" applyBorder="1" applyAlignment="1">
      <alignment horizontal="left" indent="3"/>
    </xf>
    <xf numFmtId="0" fontId="5" fillId="2" borderId="11" xfId="21" applyFont="1" applyFill="1" applyBorder="1" applyAlignment="1">
      <alignment horizontal="left" wrapText="1"/>
      <protection/>
    </xf>
    <xf numFmtId="43" fontId="5" fillId="2" borderId="11" xfId="21" applyNumberFormat="1" applyFont="1" applyFill="1" applyBorder="1">
      <alignment/>
      <protection/>
    </xf>
    <xf numFmtId="0" fontId="4" fillId="0" borderId="18" xfId="0" applyFont="1" applyBorder="1"/>
    <xf numFmtId="43" fontId="0" fillId="0" borderId="1" xfId="0" applyNumberFormat="1" applyBorder="1" applyAlignment="1">
      <alignment horizontal="left" indent="3"/>
    </xf>
    <xf numFmtId="164" fontId="0" fillId="0" borderId="2" xfId="18" applyBorder="1" applyAlignment="1">
      <alignment horizontal="left" indent="3"/>
    </xf>
    <xf numFmtId="164" fontId="0" fillId="0" borderId="3" xfId="18" applyBorder="1" applyAlignment="1">
      <alignment horizontal="left" indent="3"/>
    </xf>
    <xf numFmtId="164" fontId="4" fillId="0" borderId="19" xfId="18" applyFont="1" applyBorder="1"/>
    <xf numFmtId="0" fontId="0" fillId="0" borderId="0" xfId="0" applyBorder="1" applyAlignment="1">
      <alignment/>
    </xf>
    <xf numFmtId="164" fontId="0" fillId="0" borderId="0" xfId="18" applyBorder="1"/>
    <xf numFmtId="43" fontId="0" fillId="0" borderId="10" xfId="18" applyNumberFormat="1" applyBorder="1" applyAlignment="1">
      <alignment horizontal="left" indent="3"/>
    </xf>
    <xf numFmtId="0" fontId="1" fillId="0" borderId="5" xfId="0" applyFont="1" applyBorder="1" applyAlignment="1">
      <alignment/>
    </xf>
    <xf numFmtId="0" fontId="1" fillId="0" borderId="20" xfId="0" applyFont="1" applyBorder="1" applyAlignment="1">
      <alignment/>
    </xf>
    <xf numFmtId="43" fontId="0" fillId="0" borderId="20" xfId="0" applyNumberFormat="1" applyBorder="1" applyAlignment="1">
      <alignment horizontal="left" indent="3"/>
    </xf>
    <xf numFmtId="164" fontId="0" fillId="0" borderId="5" xfId="18" applyBorder="1" applyAlignment="1">
      <alignment horizontal="left" indent="3"/>
    </xf>
    <xf numFmtId="164" fontId="0" fillId="0" borderId="21" xfId="18" applyBorder="1" applyAlignment="1">
      <alignment horizontal="left" indent="3"/>
    </xf>
    <xf numFmtId="164" fontId="1" fillId="0" borderId="19" xfId="18" applyFont="1" applyBorder="1"/>
    <xf numFmtId="0" fontId="1" fillId="2" borderId="5" xfId="0" applyFont="1" applyFill="1" applyBorder="1" applyAlignment="1">
      <alignment/>
    </xf>
    <xf numFmtId="166" fontId="0" fillId="2" borderId="11" xfId="0" applyNumberFormat="1" applyFill="1" applyBorder="1" applyAlignment="1">
      <alignment horizontal="left" indent="3"/>
    </xf>
    <xf numFmtId="166" fontId="0" fillId="2" borderId="11" xfId="18" applyNumberFormat="1" applyFill="1" applyBorder="1" applyAlignment="1">
      <alignment horizontal="left" indent="3"/>
    </xf>
    <xf numFmtId="167" fontId="0" fillId="2" borderId="11" xfId="18" applyNumberFormat="1" applyFill="1" applyBorder="1" applyAlignment="1">
      <alignment horizontal="left" indent="3"/>
    </xf>
    <xf numFmtId="0" fontId="6" fillId="2" borderId="11" xfId="21" applyFont="1" applyFill="1" applyBorder="1">
      <alignment/>
      <protection/>
    </xf>
    <xf numFmtId="0" fontId="0" fillId="0" borderId="20" xfId="0" applyFill="1" applyBorder="1"/>
    <xf numFmtId="0" fontId="0" fillId="0" borderId="14" xfId="0" applyBorder="1" applyAlignment="1">
      <alignment/>
    </xf>
    <xf numFmtId="43" fontId="0" fillId="0" borderId="14" xfId="0" applyNumberFormat="1" applyBorder="1" applyAlignment="1">
      <alignment horizontal="left" indent="3"/>
    </xf>
    <xf numFmtId="164" fontId="0" fillId="0" borderId="14" xfId="18" applyBorder="1" applyAlignment="1">
      <alignment horizontal="left" indent="3"/>
    </xf>
    <xf numFmtId="164" fontId="0" fillId="0" borderId="15" xfId="18" applyBorder="1" applyAlignment="1">
      <alignment horizontal="left" indent="3"/>
    </xf>
    <xf numFmtId="0" fontId="5" fillId="0" borderId="11" xfId="21" applyFont="1" applyBorder="1">
      <alignment/>
      <protection/>
    </xf>
    <xf numFmtId="0" fontId="7" fillId="0" borderId="11" xfId="21" applyFont="1" applyBorder="1" applyAlignment="1">
      <alignment horizontal="center" vertical="center" wrapText="1"/>
      <protection/>
    </xf>
    <xf numFmtId="43" fontId="5" fillId="0" borderId="11" xfId="21" applyNumberFormat="1" applyFont="1" applyBorder="1">
      <alignment/>
      <protection/>
    </xf>
    <xf numFmtId="166" fontId="5" fillId="0" borderId="11" xfId="20" applyNumberFormat="1" applyFont="1" applyBorder="1"/>
    <xf numFmtId="2" fontId="5" fillId="0" borderId="11" xfId="21" applyNumberFormat="1" applyFont="1" applyBorder="1">
      <alignment/>
      <protection/>
    </xf>
    <xf numFmtId="0" fontId="5" fillId="0" borderId="0" xfId="21" applyFont="1">
      <alignment/>
      <protection/>
    </xf>
    <xf numFmtId="2" fontId="5" fillId="0" borderId="0" xfId="21" applyNumberFormat="1" applyFont="1">
      <alignment/>
      <protection/>
    </xf>
    <xf numFmtId="0" fontId="0" fillId="2" borderId="9" xfId="0" applyFill="1" applyBorder="1" applyAlignment="1">
      <alignment/>
    </xf>
    <xf numFmtId="0" fontId="5" fillId="3" borderId="20" xfId="21" applyFont="1" applyFill="1" applyBorder="1">
      <alignment/>
      <protection/>
    </xf>
    <xf numFmtId="0" fontId="0" fillId="3" borderId="5" xfId="0" applyFill="1" applyBorder="1" applyAlignment="1">
      <alignment/>
    </xf>
    <xf numFmtId="0" fontId="5" fillId="3" borderId="5" xfId="21" applyFont="1" applyFill="1" applyBorder="1" applyAlignment="1">
      <alignment horizontal="center" vertical="center" wrapText="1"/>
      <protection/>
    </xf>
    <xf numFmtId="0" fontId="5" fillId="3" borderId="5" xfId="21" applyFont="1" applyFill="1" applyBorder="1">
      <alignment/>
      <protection/>
    </xf>
    <xf numFmtId="0" fontId="5" fillId="3" borderId="21" xfId="21" applyFont="1" applyFill="1" applyBorder="1">
      <alignment/>
      <protection/>
    </xf>
    <xf numFmtId="0" fontId="5" fillId="3" borderId="0" xfId="21" applyFont="1" applyFill="1" applyBorder="1">
      <alignment/>
      <protection/>
    </xf>
    <xf numFmtId="43" fontId="5" fillId="3" borderId="0" xfId="21" applyNumberFormat="1" applyFont="1" applyFill="1" applyBorder="1">
      <alignment/>
      <protection/>
    </xf>
    <xf numFmtId="166" fontId="5" fillId="3" borderId="0" xfId="20" applyNumberFormat="1" applyFont="1" applyFill="1" applyBorder="1"/>
    <xf numFmtId="2" fontId="5" fillId="3" borderId="0" xfId="21" applyNumberFormat="1" applyFont="1" applyFill="1" applyBorder="1">
      <alignment/>
      <protection/>
    </xf>
    <xf numFmtId="0" fontId="5" fillId="3" borderId="0" xfId="21" applyFont="1" applyFill="1">
      <alignment/>
      <protection/>
    </xf>
    <xf numFmtId="2" fontId="5" fillId="3" borderId="0" xfId="21" applyNumberFormat="1" applyFont="1" applyFill="1">
      <alignment/>
      <protection/>
    </xf>
    <xf numFmtId="0" fontId="5" fillId="0" borderId="11" xfId="21" applyFont="1" applyBorder="1" applyAlignment="1">
      <alignment horizontal="left" wrapText="1"/>
      <protection/>
    </xf>
    <xf numFmtId="0" fontId="0" fillId="2" borderId="9" xfId="0" applyFill="1" applyBorder="1"/>
    <xf numFmtId="43" fontId="0" fillId="2" borderId="9" xfId="0" applyNumberFormat="1" applyFill="1" applyBorder="1" applyAlignment="1">
      <alignment horizontal="left" indent="3"/>
    </xf>
    <xf numFmtId="164" fontId="0" fillId="2" borderId="9" xfId="18" applyFill="1" applyBorder="1" applyAlignment="1">
      <alignment horizontal="left" indent="3"/>
    </xf>
    <xf numFmtId="0" fontId="0" fillId="2" borderId="2" xfId="0" applyFill="1" applyBorder="1" applyAlignment="1">
      <alignment horizontal="center"/>
    </xf>
    <xf numFmtId="164" fontId="0" fillId="2" borderId="2" xfId="18" applyFill="1" applyBorder="1" applyAlignment="1">
      <alignment horizontal="center"/>
    </xf>
    <xf numFmtId="164" fontId="0" fillId="2" borderId="5" xfId="18" applyFill="1" applyBorder="1" applyAlignment="1">
      <alignment horizontal="center"/>
    </xf>
    <xf numFmtId="164" fontId="0" fillId="2" borderId="3" xfId="18" applyFill="1" applyBorder="1" applyAlignment="1">
      <alignment horizontal="center"/>
    </xf>
    <xf numFmtId="1" fontId="0" fillId="2" borderId="0" xfId="0" applyNumberFormat="1" applyFill="1"/>
    <xf numFmtId="0" fontId="2" fillId="0" borderId="4" xfId="0" applyFont="1" applyBorder="1"/>
    <xf numFmtId="0" fontId="2" fillId="0" borderId="5" xfId="0" applyFont="1" applyBorder="1"/>
    <xf numFmtId="0" fontId="8" fillId="0" borderId="11" xfId="21" applyFont="1" applyBorder="1" applyAlignment="1">
      <alignment horizontal="left" wrapText="1"/>
      <protection/>
    </xf>
    <xf numFmtId="0" fontId="5" fillId="0" borderId="11" xfId="21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/>
    </xf>
    <xf numFmtId="43" fontId="9" fillId="0" borderId="3" xfId="20" applyFont="1" applyFill="1" applyBorder="1"/>
    <xf numFmtId="0" fontId="0" fillId="2" borderId="4" xfId="0" applyFill="1" applyBorder="1"/>
    <xf numFmtId="0" fontId="2" fillId="2" borderId="5" xfId="0" applyFont="1" applyFill="1" applyBorder="1"/>
    <xf numFmtId="0" fontId="0" fillId="2" borderId="5" xfId="0" applyFill="1" applyBorder="1"/>
    <xf numFmtId="43" fontId="0" fillId="2" borderId="5" xfId="0" applyNumberFormat="1" applyFill="1" applyBorder="1"/>
    <xf numFmtId="164" fontId="0" fillId="2" borderId="5" xfId="18" applyFill="1" applyBorder="1"/>
    <xf numFmtId="164" fontId="0" fillId="2" borderId="6" xfId="18" applyFill="1" applyBorder="1"/>
    <xf numFmtId="0" fontId="8" fillId="2" borderId="11" xfId="21" applyFont="1" applyFill="1" applyBorder="1" applyAlignment="1">
      <alignment wrapText="1"/>
      <protection/>
    </xf>
    <xf numFmtId="0" fontId="8" fillId="2" borderId="11" xfId="21" applyFont="1" applyFill="1" applyBorder="1" applyAlignment="1">
      <alignment horizontal="left" wrapText="1"/>
      <protection/>
    </xf>
    <xf numFmtId="164" fontId="4" fillId="2" borderId="3" xfId="18" applyFont="1" applyFill="1" applyBorder="1"/>
    <xf numFmtId="0" fontId="2" fillId="2" borderId="4" xfId="0" applyFont="1" applyFill="1" applyBorder="1"/>
    <xf numFmtId="0" fontId="0" fillId="2" borderId="20" xfId="0" applyFill="1" applyBorder="1"/>
    <xf numFmtId="0" fontId="1" fillId="0" borderId="9" xfId="0" applyFont="1" applyBorder="1" applyAlignment="1">
      <alignment/>
    </xf>
    <xf numFmtId="43" fontId="1" fillId="0" borderId="9" xfId="0" applyNumberFormat="1" applyFont="1" applyBorder="1" applyAlignment="1">
      <alignment horizontal="left" indent="3"/>
    </xf>
    <xf numFmtId="164" fontId="1" fillId="0" borderId="9" xfId="18" applyFont="1" applyBorder="1" applyAlignment="1">
      <alignment horizontal="left" indent="3"/>
    </xf>
    <xf numFmtId="164" fontId="1" fillId="0" borderId="10" xfId="18" applyFont="1" applyBorder="1" applyAlignment="1">
      <alignment horizontal="left" indent="3"/>
    </xf>
    <xf numFmtId="0" fontId="4" fillId="0" borderId="11" xfId="0" applyFont="1" applyBorder="1" applyAlignment="1">
      <alignment horizontal="right"/>
    </xf>
    <xf numFmtId="43" fontId="1" fillId="0" borderId="11" xfId="0" applyNumberFormat="1" applyFont="1" applyBorder="1" applyAlignment="1">
      <alignment horizontal="right"/>
    </xf>
    <xf numFmtId="164" fontId="1" fillId="0" borderId="11" xfId="18" applyFont="1" applyBorder="1" applyAlignment="1">
      <alignment horizontal="right"/>
    </xf>
    <xf numFmtId="164" fontId="1" fillId="0" borderId="12" xfId="18" applyFont="1" applyBorder="1" applyAlignment="1">
      <alignment horizontal="right"/>
    </xf>
    <xf numFmtId="43" fontId="1" fillId="0" borderId="11" xfId="0" applyNumberFormat="1" applyFont="1" applyBorder="1" applyAlignment="1">
      <alignment horizontal="left" indent="3"/>
    </xf>
    <xf numFmtId="164" fontId="1" fillId="0" borderId="11" xfId="18" applyFont="1" applyBorder="1" applyAlignment="1">
      <alignment horizontal="left" indent="3"/>
    </xf>
    <xf numFmtId="164" fontId="1" fillId="0" borderId="12" xfId="18" applyFont="1" applyBorder="1" applyAlignment="1">
      <alignment horizontal="left" indent="3"/>
    </xf>
    <xf numFmtId="0" fontId="0" fillId="0" borderId="22" xfId="0" applyBorder="1"/>
    <xf numFmtId="0" fontId="8" fillId="0" borderId="11" xfId="21" applyFont="1" applyBorder="1">
      <alignment/>
      <protection/>
    </xf>
    <xf numFmtId="0" fontId="10" fillId="0" borderId="11" xfId="21" applyFont="1" applyFill="1" applyBorder="1" applyAlignment="1">
      <alignment horizontal="center" wrapText="1"/>
      <protection/>
    </xf>
    <xf numFmtId="0" fontId="10" fillId="0" borderId="11" xfId="21" applyFont="1" applyFill="1" applyBorder="1" applyAlignment="1">
      <alignment horizontal="center" vertical="center" wrapText="1"/>
      <protection/>
    </xf>
    <xf numFmtId="0" fontId="8" fillId="2" borderId="11" xfId="21" applyFont="1" applyFill="1" applyBorder="1">
      <alignment/>
      <protection/>
    </xf>
    <xf numFmtId="0" fontId="8" fillId="2" borderId="11" xfId="21" applyFont="1" applyFill="1" applyBorder="1" applyAlignment="1">
      <alignment horizontal="center" vertical="center" wrapText="1"/>
      <protection/>
    </xf>
    <xf numFmtId="0" fontId="8" fillId="3" borderId="11" xfId="21" applyFont="1" applyFill="1" applyBorder="1">
      <alignment/>
      <protection/>
    </xf>
    <xf numFmtId="0" fontId="8" fillId="3" borderId="11" xfId="21" applyFont="1" applyFill="1" applyBorder="1" applyAlignment="1">
      <alignment wrapText="1"/>
      <protection/>
    </xf>
    <xf numFmtId="0" fontId="8" fillId="3" borderId="11" xfId="21" applyFont="1" applyFill="1" applyBorder="1" applyAlignment="1">
      <alignment horizontal="center" vertical="center" wrapText="1"/>
      <protection/>
    </xf>
    <xf numFmtId="0" fontId="5" fillId="3" borderId="11" xfId="21" applyFont="1" applyFill="1" applyBorder="1">
      <alignment/>
      <protection/>
    </xf>
    <xf numFmtId="43" fontId="5" fillId="3" borderId="11" xfId="21" applyNumberFormat="1" applyFont="1" applyFill="1" applyBorder="1">
      <alignment/>
      <protection/>
    </xf>
    <xf numFmtId="166" fontId="11" fillId="3" borderId="11" xfId="20" applyNumberFormat="1" applyFont="1" applyFill="1" applyBorder="1"/>
    <xf numFmtId="2" fontId="5" fillId="3" borderId="11" xfId="21" applyNumberFormat="1" applyFont="1" applyFill="1" applyBorder="1">
      <alignment/>
      <protection/>
    </xf>
    <xf numFmtId="166" fontId="5" fillId="3" borderId="11" xfId="20" applyNumberFormat="1" applyFont="1" applyFill="1" applyBorder="1"/>
    <xf numFmtId="1" fontId="8" fillId="2" borderId="11" xfId="21" applyNumberFormat="1" applyFont="1" applyFill="1" applyBorder="1">
      <alignment/>
      <protection/>
    </xf>
    <xf numFmtId="1" fontId="5" fillId="2" borderId="11" xfId="21" applyNumberFormat="1" applyFont="1" applyFill="1" applyBorder="1">
      <alignment/>
      <protection/>
    </xf>
    <xf numFmtId="0" fontId="10" fillId="2" borderId="11" xfId="21" applyFont="1" applyFill="1" applyBorder="1" applyAlignment="1">
      <alignment horizontal="center" wrapText="1"/>
      <protection/>
    </xf>
    <xf numFmtId="0" fontId="10" fillId="2" borderId="11" xfId="21" applyFont="1" applyFill="1" applyBorder="1" applyAlignment="1">
      <alignment horizontal="center" vertical="center" wrapText="1"/>
      <protection/>
    </xf>
    <xf numFmtId="2" fontId="5" fillId="2" borderId="0" xfId="21" applyNumberFormat="1" applyFont="1" applyFill="1" applyBorder="1">
      <alignment/>
      <protection/>
    </xf>
    <xf numFmtId="0" fontId="8" fillId="3" borderId="11" xfId="21" applyFont="1" applyFill="1" applyBorder="1" applyAlignment="1">
      <alignment horizontal="left"/>
      <protection/>
    </xf>
    <xf numFmtId="0" fontId="5" fillId="3" borderId="11" xfId="21" applyFont="1" applyFill="1" applyBorder="1" applyAlignment="1">
      <alignment horizontal="left"/>
      <protection/>
    </xf>
    <xf numFmtId="0" fontId="8" fillId="2" borderId="0" xfId="21" applyFont="1" applyFill="1" applyBorder="1" applyAlignment="1">
      <alignment wrapText="1"/>
      <protection/>
    </xf>
    <xf numFmtId="0" fontId="8" fillId="2" borderId="17" xfId="21" applyFont="1" applyFill="1" applyBorder="1" applyAlignment="1">
      <alignment horizontal="left" wrapText="1"/>
      <protection/>
    </xf>
    <xf numFmtId="1" fontId="0" fillId="0" borderId="0" xfId="0" applyNumberFormat="1"/>
    <xf numFmtId="164" fontId="0" fillId="0" borderId="0" xfId="18"/>
    <xf numFmtId="0" fontId="2" fillId="4" borderId="4" xfId="0" applyFont="1" applyFill="1" applyBorder="1"/>
    <xf numFmtId="0" fontId="2" fillId="4" borderId="5" xfId="0" applyFont="1" applyFill="1" applyBorder="1"/>
    <xf numFmtId="0" fontId="7" fillId="4" borderId="11" xfId="21" applyFont="1" applyFill="1" applyBorder="1" applyAlignment="1">
      <alignment horizontal="center" vertical="center" wrapText="1"/>
      <protection/>
    </xf>
    <xf numFmtId="0" fontId="5" fillId="4" borderId="11" xfId="21" applyFont="1" applyFill="1" applyBorder="1">
      <alignment/>
      <protection/>
    </xf>
    <xf numFmtId="43" fontId="5" fillId="4" borderId="11" xfId="21" applyNumberFormat="1" applyFont="1" applyFill="1" applyBorder="1">
      <alignment/>
      <protection/>
    </xf>
    <xf numFmtId="166" fontId="5" fillId="4" borderId="11" xfId="20" applyNumberFormat="1" applyFont="1" applyFill="1" applyBorder="1"/>
    <xf numFmtId="2" fontId="5" fillId="4" borderId="11" xfId="21" applyNumberFormat="1" applyFont="1" applyFill="1" applyBorder="1">
      <alignment/>
      <protection/>
    </xf>
    <xf numFmtId="0" fontId="5" fillId="4" borderId="0" xfId="21" applyFont="1" applyFill="1">
      <alignment/>
      <protection/>
    </xf>
    <xf numFmtId="2" fontId="5" fillId="4" borderId="0" xfId="21" applyNumberFormat="1" applyFont="1" applyFill="1">
      <alignment/>
      <protection/>
    </xf>
    <xf numFmtId="0" fontId="8" fillId="4" borderId="11" xfId="21" applyFont="1" applyFill="1" applyBorder="1" applyAlignment="1">
      <alignment horizontal="left" wrapText="1"/>
      <protection/>
    </xf>
    <xf numFmtId="0" fontId="5" fillId="4" borderId="11" xfId="21" applyFont="1" applyFill="1" applyBorder="1" applyAlignment="1">
      <alignment horizontal="center" vertical="center" wrapText="1"/>
      <protection/>
    </xf>
    <xf numFmtId="0" fontId="0" fillId="4" borderId="4" xfId="0" applyFill="1" applyBorder="1"/>
    <xf numFmtId="0" fontId="8" fillId="4" borderId="11" xfId="21" applyFont="1" applyFill="1" applyBorder="1" applyAlignment="1">
      <alignment wrapText="1"/>
      <protection/>
    </xf>
    <xf numFmtId="43" fontId="0" fillId="4" borderId="5" xfId="0" applyNumberFormat="1" applyFill="1" applyBorder="1"/>
    <xf numFmtId="164" fontId="0" fillId="4" borderId="5" xfId="18" applyFill="1" applyBorder="1"/>
    <xf numFmtId="164" fontId="0" fillId="4" borderId="6" xfId="18" applyFill="1" applyBorder="1"/>
    <xf numFmtId="164" fontId="0" fillId="4" borderId="0" xfId="0" applyNumberFormat="1" applyFill="1"/>
    <xf numFmtId="2" fontId="0" fillId="4" borderId="0" xfId="0" applyNumberFormat="1" applyFill="1"/>
    <xf numFmtId="165" fontId="0" fillId="4" borderId="0" xfId="0" applyNumberFormat="1" applyFill="1"/>
    <xf numFmtId="0" fontId="0" fillId="4" borderId="0" xfId="0" applyFill="1"/>
    <xf numFmtId="164" fontId="0" fillId="4" borderId="0" xfId="0" applyNumberFormat="1" applyFill="1" applyBorder="1"/>
    <xf numFmtId="2" fontId="0" fillId="4" borderId="0" xfId="0" applyNumberFormat="1" applyFill="1" applyBorder="1"/>
    <xf numFmtId="0" fontId="0" fillId="4" borderId="9" xfId="0" applyFill="1" applyBorder="1" applyAlignment="1">
      <alignment/>
    </xf>
    <xf numFmtId="0" fontId="0" fillId="4" borderId="11" xfId="0" applyFill="1" applyBorder="1" applyAlignment="1">
      <alignment/>
    </xf>
    <xf numFmtId="0" fontId="5" fillId="4" borderId="11" xfId="21" applyFont="1" applyFill="1" applyBorder="1" applyAlignment="1">
      <alignment horizontal="left" wrapText="1"/>
      <protection/>
    </xf>
    <xf numFmtId="0" fontId="0" fillId="4" borderId="13" xfId="0" applyFill="1" applyBorder="1"/>
    <xf numFmtId="0" fontId="0" fillId="4" borderId="14" xfId="0" applyFill="1" applyBorder="1" applyAlignment="1">
      <alignment/>
    </xf>
    <xf numFmtId="43" fontId="0" fillId="4" borderId="14" xfId="0" applyNumberFormat="1" applyFill="1" applyBorder="1" applyAlignment="1">
      <alignment horizontal="left" indent="3"/>
    </xf>
    <xf numFmtId="164" fontId="0" fillId="4" borderId="14" xfId="18" applyFill="1" applyBorder="1" applyAlignment="1">
      <alignment horizontal="left" indent="3"/>
    </xf>
    <xf numFmtId="164" fontId="0" fillId="4" borderId="15" xfId="18" applyFill="1" applyBorder="1" applyAlignment="1">
      <alignment horizontal="left" indent="3"/>
    </xf>
    <xf numFmtId="0" fontId="0" fillId="4" borderId="14" xfId="0" applyFill="1" applyBorder="1"/>
    <xf numFmtId="43" fontId="0" fillId="4" borderId="14" xfId="0" applyNumberFormat="1" applyFill="1" applyBorder="1"/>
    <xf numFmtId="164" fontId="0" fillId="4" borderId="14" xfId="18" applyFill="1" applyBorder="1"/>
    <xf numFmtId="164" fontId="0" fillId="4" borderId="15" xfId="18" applyFill="1" applyBorder="1"/>
    <xf numFmtId="0" fontId="8" fillId="4" borderId="11" xfId="21" applyFont="1" applyFill="1" applyBorder="1">
      <alignment/>
      <protection/>
    </xf>
    <xf numFmtId="0" fontId="8" fillId="4" borderId="11" xfId="2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164" fontId="0" fillId="0" borderId="0" xfId="18" applyBorder="1" applyAlignment="1">
      <alignment horizontal="center"/>
    </xf>
    <xf numFmtId="166" fontId="5" fillId="2" borderId="0" xfId="20" applyNumberFormat="1" applyFont="1" applyFill="1" applyBorder="1"/>
    <xf numFmtId="166" fontId="5" fillId="2" borderId="0" xfId="21" applyNumberFormat="1" applyFont="1" applyFill="1" applyBorder="1">
      <alignment/>
      <protection/>
    </xf>
    <xf numFmtId="43" fontId="6" fillId="2" borderId="0" xfId="21" applyNumberFormat="1" applyFont="1" applyFill="1" applyBorder="1">
      <alignment/>
      <protection/>
    </xf>
    <xf numFmtId="2" fontId="6" fillId="2" borderId="0" xfId="21" applyNumberFormat="1" applyFont="1" applyFill="1" applyBorder="1">
      <alignment/>
      <protection/>
    </xf>
    <xf numFmtId="0" fontId="6" fillId="2" borderId="0" xfId="21" applyFont="1" applyFill="1" applyBorder="1">
      <alignment/>
      <protection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/>
    <xf numFmtId="165" fontId="0" fillId="2" borderId="0" xfId="0" applyNumberFormat="1" applyFill="1" applyBorder="1"/>
    <xf numFmtId="1" fontId="0" fillId="2" borderId="0" xfId="0" applyNumberFormat="1" applyFill="1" applyBorder="1" applyAlignment="1">
      <alignment horizontal="center"/>
    </xf>
    <xf numFmtId="0" fontId="0" fillId="4" borderId="0" xfId="0" applyFill="1" applyBorder="1"/>
    <xf numFmtId="165" fontId="0" fillId="4" borderId="0" xfId="0" applyNumberFormat="1" applyFill="1" applyBorder="1"/>
    <xf numFmtId="0" fontId="5" fillId="4" borderId="0" xfId="21" applyFont="1" applyFill="1" applyBorder="1">
      <alignment/>
      <protection/>
    </xf>
    <xf numFmtId="43" fontId="5" fillId="4" borderId="0" xfId="21" applyNumberFormat="1" applyFont="1" applyFill="1" applyBorder="1">
      <alignment/>
      <protection/>
    </xf>
    <xf numFmtId="166" fontId="5" fillId="4" borderId="0" xfId="20" applyNumberFormat="1" applyFont="1" applyFill="1" applyBorder="1"/>
    <xf numFmtId="2" fontId="5" fillId="4" borderId="0" xfId="21" applyNumberFormat="1" applyFont="1" applyFill="1" applyBorder="1">
      <alignment/>
      <protection/>
    </xf>
    <xf numFmtId="43" fontId="5" fillId="2" borderId="0" xfId="21" applyNumberFormat="1" applyFont="1" applyFill="1" applyBorder="1">
      <alignment/>
      <protection/>
    </xf>
    <xf numFmtId="0" fontId="5" fillId="0" borderId="0" xfId="21" applyFont="1" applyBorder="1">
      <alignment/>
      <protection/>
    </xf>
    <xf numFmtId="43" fontId="5" fillId="0" borderId="0" xfId="21" applyNumberFormat="1" applyFont="1" applyBorder="1">
      <alignment/>
      <protection/>
    </xf>
    <xf numFmtId="166" fontId="5" fillId="0" borderId="0" xfId="20" applyNumberFormat="1" applyFont="1" applyBorder="1"/>
    <xf numFmtId="2" fontId="5" fillId="0" borderId="0" xfId="21" applyNumberFormat="1" applyFont="1" applyBorder="1">
      <alignment/>
      <protection/>
    </xf>
    <xf numFmtId="0" fontId="8" fillId="3" borderId="0" xfId="21" applyFont="1" applyFill="1" applyBorder="1">
      <alignment/>
      <protection/>
    </xf>
    <xf numFmtId="166" fontId="11" fillId="3" borderId="0" xfId="20" applyNumberFormat="1" applyFont="1" applyFill="1" applyBorder="1"/>
    <xf numFmtId="0" fontId="5" fillId="3" borderId="0" xfId="21" applyFont="1" applyFill="1" applyBorder="1" applyAlignment="1">
      <alignment horizontal="left"/>
      <protection/>
    </xf>
    <xf numFmtId="0" fontId="0" fillId="0" borderId="11" xfId="0" applyBorder="1"/>
    <xf numFmtId="0" fontId="0" fillId="0" borderId="11" xfId="0" applyBorder="1" applyAlignment="1">
      <alignment horizontal="center"/>
    </xf>
    <xf numFmtId="164" fontId="0" fillId="0" borderId="11" xfId="18" applyBorder="1" applyAlignment="1">
      <alignment horizontal="center"/>
    </xf>
    <xf numFmtId="164" fontId="0" fillId="0" borderId="11" xfId="18" applyBorder="1"/>
    <xf numFmtId="0" fontId="4" fillId="0" borderId="11" xfId="0" applyFont="1" applyBorder="1"/>
    <xf numFmtId="164" fontId="4" fillId="0" borderId="11" xfId="18" applyFont="1" applyBorder="1"/>
    <xf numFmtId="0" fontId="1" fillId="2" borderId="11" xfId="0" applyFont="1" applyFill="1" applyBorder="1"/>
    <xf numFmtId="0" fontId="4" fillId="2" borderId="11" xfId="0" applyFont="1" applyFill="1" applyBorder="1"/>
    <xf numFmtId="164" fontId="0" fillId="2" borderId="11" xfId="18" applyFill="1" applyBorder="1"/>
    <xf numFmtId="0" fontId="0" fillId="0" borderId="11" xfId="0" applyFill="1" applyBorder="1"/>
    <xf numFmtId="43" fontId="0" fillId="0" borderId="11" xfId="18" applyNumberFormat="1" applyBorder="1"/>
    <xf numFmtId="164" fontId="0" fillId="0" borderId="11" xfId="0" applyNumberFormat="1" applyBorder="1"/>
    <xf numFmtId="1" fontId="0" fillId="2" borderId="11" xfId="0" applyNumberFormat="1" applyFill="1" applyBorder="1"/>
    <xf numFmtId="1" fontId="0" fillId="2" borderId="11" xfId="18" applyNumberFormat="1" applyFill="1" applyBorder="1"/>
    <xf numFmtId="1" fontId="4" fillId="2" borderId="11" xfId="0" applyNumberFormat="1" applyFont="1" applyFill="1" applyBorder="1"/>
    <xf numFmtId="1" fontId="4" fillId="2" borderId="11" xfId="18" applyNumberFormat="1" applyFont="1" applyFill="1" applyBorder="1"/>
    <xf numFmtId="43" fontId="4" fillId="2" borderId="11" xfId="0" applyNumberFormat="1" applyFont="1" applyFill="1" applyBorder="1"/>
    <xf numFmtId="164" fontId="4" fillId="2" borderId="11" xfId="18" applyFont="1" applyFill="1" applyBorder="1"/>
    <xf numFmtId="168" fontId="4" fillId="2" borderId="11" xfId="18" applyNumberFormat="1" applyFont="1" applyFill="1" applyBorder="1"/>
    <xf numFmtId="166" fontId="4" fillId="2" borderId="11" xfId="0" applyNumberFormat="1" applyFont="1" applyFill="1" applyBorder="1"/>
    <xf numFmtId="166" fontId="0" fillId="2" borderId="11" xfId="0" applyNumberFormat="1" applyFill="1" applyBorder="1"/>
    <xf numFmtId="166" fontId="4" fillId="2" borderId="11" xfId="18" applyNumberFormat="1" applyFont="1" applyFill="1" applyBorder="1"/>
    <xf numFmtId="43" fontId="4" fillId="0" borderId="11" xfId="0" applyNumberFormat="1" applyFont="1" applyBorder="1"/>
    <xf numFmtId="0" fontId="4" fillId="0" borderId="11" xfId="0" applyFont="1" applyFill="1" applyBorder="1"/>
    <xf numFmtId="0" fontId="2" fillId="0" borderId="11" xfId="0" applyFont="1" applyBorder="1"/>
    <xf numFmtId="43" fontId="0" fillId="0" borderId="11" xfId="0" applyNumberFormat="1" applyBorder="1"/>
    <xf numFmtId="0" fontId="0" fillId="4" borderId="11" xfId="0" applyFill="1" applyBorder="1"/>
    <xf numFmtId="43" fontId="0" fillId="4" borderId="11" xfId="0" applyNumberFormat="1" applyFill="1" applyBorder="1" applyAlignment="1">
      <alignment horizontal="left" indent="3"/>
    </xf>
    <xf numFmtId="164" fontId="0" fillId="4" borderId="11" xfId="18" applyFill="1" applyBorder="1" applyAlignment="1">
      <alignment horizontal="left" indent="3"/>
    </xf>
    <xf numFmtId="43" fontId="0" fillId="4" borderId="11" xfId="0" applyNumberFormat="1" applyFill="1" applyBorder="1"/>
    <xf numFmtId="164" fontId="0" fillId="4" borderId="11" xfId="18" applyFill="1" applyBorder="1"/>
    <xf numFmtId="0" fontId="5" fillId="0" borderId="11" xfId="21" applyFont="1" applyBorder="1" applyAlignment="1">
      <alignment horizontal="left" wrapText="1" indent="1"/>
      <protection/>
    </xf>
    <xf numFmtId="164" fontId="1" fillId="0" borderId="11" xfId="18" applyFont="1" applyBorder="1"/>
    <xf numFmtId="2" fontId="0" fillId="0" borderId="11" xfId="0" applyNumberFormat="1" applyBorder="1"/>
    <xf numFmtId="0" fontId="1" fillId="0" borderId="11" xfId="0" applyFont="1" applyBorder="1" applyAlignment="1">
      <alignment/>
    </xf>
    <xf numFmtId="0" fontId="1" fillId="2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5" fillId="3" borderId="11" xfId="2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43" fontId="9" fillId="0" borderId="11" xfId="20" applyFont="1" applyFill="1" applyBorder="1"/>
    <xf numFmtId="0" fontId="2" fillId="2" borderId="11" xfId="0" applyFont="1" applyFill="1" applyBorder="1"/>
    <xf numFmtId="43" fontId="0" fillId="2" borderId="11" xfId="0" applyNumberFormat="1" applyFill="1" applyBorder="1"/>
    <xf numFmtId="0" fontId="2" fillId="4" borderId="11" xfId="0" applyFont="1" applyFill="1" applyBorder="1"/>
    <xf numFmtId="0" fontId="12" fillId="0" borderId="11" xfId="21" applyFont="1" applyBorder="1" applyAlignment="1">
      <alignment horizontal="left" wrapText="1"/>
      <protection/>
    </xf>
    <xf numFmtId="0" fontId="5" fillId="0" borderId="11" xfId="21" applyFont="1" applyBorder="1" applyAlignment="1">
      <alignment wrapText="1"/>
      <protection/>
    </xf>
    <xf numFmtId="0" fontId="5" fillId="5" borderId="11" xfId="21" applyFont="1" applyFill="1" applyBorder="1" applyAlignment="1">
      <alignment wrapText="1"/>
      <protection/>
    </xf>
    <xf numFmtId="0" fontId="5" fillId="0" borderId="11" xfId="21" applyFont="1" applyFill="1" applyBorder="1" applyAlignment="1">
      <alignment horizontal="left" wrapText="1" indent="1"/>
      <protection/>
    </xf>
    <xf numFmtId="0" fontId="5" fillId="3" borderId="11" xfId="21" applyFont="1" applyFill="1" applyBorder="1" applyAlignment="1">
      <alignment horizontal="left" wrapText="1" indent="1"/>
      <protection/>
    </xf>
    <xf numFmtId="0" fontId="12" fillId="0" borderId="11" xfId="21" applyFont="1" applyFill="1" applyBorder="1" applyAlignment="1">
      <alignment horizontal="left" wrapText="1"/>
      <protection/>
    </xf>
    <xf numFmtId="0" fontId="5" fillId="6" borderId="11" xfId="21" applyFont="1" applyFill="1" applyBorder="1" applyAlignment="1">
      <alignment horizontal="left" wrapText="1" indent="1"/>
      <protection/>
    </xf>
    <xf numFmtId="0" fontId="5" fillId="5" borderId="11" xfId="21" applyFont="1" applyFill="1" applyBorder="1" applyAlignment="1">
      <alignment horizontal="left" wrapText="1" indent="1"/>
      <protection/>
    </xf>
    <xf numFmtId="0" fontId="12" fillId="5" borderId="11" xfId="21" applyFont="1" applyFill="1" applyBorder="1" applyAlignment="1">
      <alignment horizontal="left" wrapText="1"/>
      <protection/>
    </xf>
    <xf numFmtId="0" fontId="5" fillId="5" borderId="11" xfId="21" applyFont="1" applyFill="1" applyBorder="1" applyAlignment="1">
      <alignment horizontal="left" wrapText="1"/>
      <protection/>
    </xf>
    <xf numFmtId="0" fontId="5" fillId="0" borderId="11" xfId="21" applyFont="1" applyBorder="1" applyAlignment="1">
      <alignment horizontal="left" wrapText="1" indent="2"/>
      <protection/>
    </xf>
    <xf numFmtId="0" fontId="7" fillId="0" borderId="11" xfId="21" applyFont="1" applyBorder="1" applyAlignment="1">
      <alignment horizontal="center" wrapText="1"/>
      <protection/>
    </xf>
    <xf numFmtId="0" fontId="5" fillId="0" borderId="11" xfId="21" applyFont="1" applyFill="1" applyBorder="1" applyAlignment="1">
      <alignment wrapText="1"/>
      <protection/>
    </xf>
    <xf numFmtId="0" fontId="5" fillId="0" borderId="11" xfId="21" applyFont="1" applyFill="1" applyBorder="1" applyAlignment="1">
      <alignment horizontal="left" wrapText="1"/>
      <protection/>
    </xf>
    <xf numFmtId="0" fontId="7" fillId="3" borderId="11" xfId="21" applyFont="1" applyFill="1" applyBorder="1" applyAlignment="1">
      <alignment horizontal="center" wrapText="1"/>
      <protection/>
    </xf>
    <xf numFmtId="0" fontId="5" fillId="3" borderId="11" xfId="21" applyFont="1" applyFill="1" applyBorder="1" applyAlignment="1">
      <alignment horizontal="left" wrapText="1"/>
      <protection/>
    </xf>
    <xf numFmtId="0" fontId="7" fillId="0" borderId="11" xfId="21" applyFont="1" applyFill="1" applyBorder="1" applyAlignment="1">
      <alignment horizontal="center" wrapText="1"/>
      <protection/>
    </xf>
    <xf numFmtId="0" fontId="7" fillId="0" borderId="11" xfId="21" applyFont="1" applyFill="1" applyBorder="1" applyAlignment="1">
      <alignment horizontal="center" vertical="center" wrapText="1"/>
      <protection/>
    </xf>
    <xf numFmtId="0" fontId="5" fillId="0" borderId="11" xfId="21" applyFont="1" applyFill="1" applyBorder="1" applyAlignment="1">
      <alignment horizontal="left" vertical="center" wrapText="1"/>
      <protection/>
    </xf>
    <xf numFmtId="0" fontId="8" fillId="6" borderId="11" xfId="0" applyFont="1" applyFill="1" applyBorder="1" applyAlignment="1">
      <alignment/>
    </xf>
    <xf numFmtId="0" fontId="4" fillId="6" borderId="11" xfId="0" applyFont="1" applyFill="1" applyBorder="1" applyAlignment="1">
      <alignment horizontal="right"/>
    </xf>
    <xf numFmtId="0" fontId="5" fillId="0" borderId="17" xfId="21" applyFont="1" applyBorder="1" applyAlignment="1">
      <alignment horizontal="left" wrapText="1"/>
      <protection/>
    </xf>
    <xf numFmtId="0" fontId="2" fillId="5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_Cost%20of%20Interventio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dranil.m\Desktop\Costing%20EHP\NCMH%20-%20For%20Shakti\Core%20Package%200404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Personal\Meeting%20with%20Epidemiologists\Injuries\Inju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diseases"/>
      <sheetName val="Packages"/>
      <sheetName val="Cost per unit2"/>
      <sheetName val="CH a"/>
      <sheetName val="CH b"/>
      <sheetName val="CH c"/>
      <sheetName val="CH ARI"/>
      <sheetName val="CH ARI SP"/>
      <sheetName val="CH D D"/>
      <sheetName val="CH D nD"/>
      <sheetName val="CH D"/>
      <sheetName val="CH M"/>
      <sheetName val="M PS"/>
      <sheetName val="M SA"/>
      <sheetName val="M AH"/>
      <sheetName val="M PH"/>
      <sheetName val="M E"/>
      <sheetName val="M PRM"/>
      <sheetName val="M OL"/>
      <sheetName val="COPD"/>
      <sheetName val="A AA"/>
      <sheetName val="A CA"/>
      <sheetName val="D M min insu"/>
      <sheetName val="D M plu insu"/>
      <sheetName val="D M"/>
      <sheetName val="H S"/>
      <sheetName val="C CAD Inci"/>
      <sheetName val="C CAD Prev"/>
      <sheetName val="C CAD"/>
      <sheetName val="C RHD"/>
      <sheetName val="C H diet"/>
      <sheetName val="C H 1 drg"/>
      <sheetName val="C H 2 drg"/>
      <sheetName val="C H"/>
      <sheetName val="C CHF"/>
      <sheetName val="C BC"/>
      <sheetName val="C CC"/>
      <sheetName val="C LC"/>
      <sheetName val="C SC"/>
      <sheetName val="B CB"/>
      <sheetName val="B BRE"/>
      <sheetName val="B BG"/>
      <sheetName val="E COM"/>
      <sheetName val="L P"/>
      <sheetName val="L M"/>
      <sheetName val="T NSP"/>
      <sheetName val="T TD"/>
      <sheetName val="T E"/>
      <sheetName val="VBD M"/>
      <sheetName val="VBD MV"/>
      <sheetName val="T NSN"/>
      <sheetName val="VBD D"/>
      <sheetName val="VBD KA"/>
      <sheetName val="VBD JE"/>
      <sheetName val="Cost per unit"/>
      <sheetName val="VBD LF"/>
      <sheetName val="HA"/>
      <sheetName val="HIV"/>
      <sheetName val="M S"/>
      <sheetName val="M  MBD"/>
      <sheetName val="M CMD"/>
      <sheetName val="M ADA"/>
      <sheetName val="M CAPD"/>
      <sheetName val="M MR"/>
      <sheetName val="M GPD"/>
      <sheetName val=" M E"/>
      <sheetName val="D DC"/>
      <sheetName val="D PD"/>
      <sheetName val="D DAM"/>
      <sheetName val="D DF"/>
      <sheetName val="I  RTI"/>
      <sheetName val="I OI"/>
      <sheetName val="I B"/>
      <sheetName val="I P"/>
      <sheetName val="I D"/>
      <sheetName val="I AS"/>
      <sheetName val="I AB"/>
      <sheetName val="Equipment cost"/>
      <sheetName val="C-Section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30">
          <cell r="G30">
            <v>475.7692307692308</v>
          </cell>
          <cell r="K30">
            <v>1336.8294333333333</v>
          </cell>
          <cell r="R30">
            <v>449.519</v>
          </cell>
          <cell r="W30">
            <v>145</v>
          </cell>
        </row>
      </sheetData>
      <sheetData sheetId="4" refreshError="1">
        <row r="17">
          <cell r="G17">
            <v>6171.778846153846</v>
          </cell>
          <cell r="M17">
            <v>30</v>
          </cell>
          <cell r="R17">
            <v>471.72</v>
          </cell>
          <cell r="W17">
            <v>745</v>
          </cell>
        </row>
      </sheetData>
      <sheetData sheetId="5" refreshError="1">
        <row r="27">
          <cell r="G27">
            <v>770.6971153846154</v>
          </cell>
          <cell r="K27">
            <v>158.52200000000002</v>
          </cell>
          <cell r="M27">
            <v>25</v>
          </cell>
          <cell r="R27">
            <v>143.56</v>
          </cell>
          <cell r="W27">
            <v>1650</v>
          </cell>
        </row>
        <row r="33">
          <cell r="G33">
            <v>164.9278846153846</v>
          </cell>
          <cell r="K33">
            <v>141.96</v>
          </cell>
          <cell r="R33">
            <v>0</v>
          </cell>
          <cell r="W33">
            <v>1490</v>
          </cell>
        </row>
      </sheetData>
      <sheetData sheetId="6" refreshError="1">
        <row r="30">
          <cell r="G30">
            <v>21.346153846153847</v>
          </cell>
          <cell r="R30">
            <v>685.425</v>
          </cell>
          <cell r="W30">
            <v>50</v>
          </cell>
        </row>
      </sheetData>
      <sheetData sheetId="7" refreshError="1">
        <row r="20">
          <cell r="G20">
            <v>2378.846153846154</v>
          </cell>
          <cell r="M20">
            <v>260</v>
          </cell>
          <cell r="R20">
            <v>3535.3</v>
          </cell>
          <cell r="W20">
            <v>590</v>
          </cell>
        </row>
      </sheetData>
      <sheetData sheetId="8" refreshError="1">
        <row r="31">
          <cell r="G31">
            <v>170.76923076923077</v>
          </cell>
          <cell r="R31">
            <v>4.68</v>
          </cell>
          <cell r="W31">
            <v>50</v>
          </cell>
        </row>
      </sheetData>
      <sheetData sheetId="9" refreshError="1">
        <row r="13">
          <cell r="G13">
            <v>624.7836538461538</v>
          </cell>
          <cell r="M13">
            <v>25</v>
          </cell>
          <cell r="R13">
            <v>2504.7000000000003</v>
          </cell>
          <cell r="W13">
            <v>145</v>
          </cell>
        </row>
      </sheetData>
      <sheetData sheetId="10" refreshError="1">
        <row r="29">
          <cell r="G29">
            <v>21.346153846153847</v>
          </cell>
          <cell r="R29">
            <v>41.65</v>
          </cell>
          <cell r="W29">
            <v>25</v>
          </cell>
        </row>
      </sheetData>
      <sheetData sheetId="11" refreshError="1">
        <row r="20">
          <cell r="G20">
            <v>2308.9903846153848</v>
          </cell>
          <cell r="M20">
            <v>100</v>
          </cell>
          <cell r="R20">
            <v>32.76</v>
          </cell>
          <cell r="W20">
            <v>745</v>
          </cell>
        </row>
      </sheetData>
      <sheetData sheetId="12" refreshError="1">
        <row r="16">
          <cell r="G16">
            <v>494.7836538461538</v>
          </cell>
          <cell r="M16">
            <v>75</v>
          </cell>
          <cell r="R16">
            <v>813.421</v>
          </cell>
          <cell r="W16">
            <v>495</v>
          </cell>
        </row>
      </sheetData>
      <sheetData sheetId="13" refreshError="1">
        <row r="19">
          <cell r="G19">
            <v>494.7836538461538</v>
          </cell>
          <cell r="M19">
            <v>50</v>
          </cell>
          <cell r="R19">
            <v>497.371</v>
          </cell>
          <cell r="W19">
            <v>495</v>
          </cell>
        </row>
      </sheetData>
      <sheetData sheetId="14" refreshError="1">
        <row r="16">
          <cell r="G16">
            <v>2850.2764423076924</v>
          </cell>
          <cell r="K16">
            <v>179.3428</v>
          </cell>
          <cell r="M16">
            <v>25</v>
          </cell>
          <cell r="R16">
            <v>490.50300000000004</v>
          </cell>
          <cell r="W16">
            <v>4000</v>
          </cell>
        </row>
      </sheetData>
      <sheetData sheetId="15" refreshError="1">
        <row r="19">
          <cell r="G19">
            <v>1982.0432692307693</v>
          </cell>
          <cell r="K19">
            <v>8799.154</v>
          </cell>
          <cell r="M19">
            <v>195</v>
          </cell>
          <cell r="R19">
            <v>1180.608</v>
          </cell>
          <cell r="W19">
            <v>1095</v>
          </cell>
        </row>
      </sheetData>
      <sheetData sheetId="16" refreshError="1">
        <row r="18">
          <cell r="G18">
            <v>7643.317307692308</v>
          </cell>
          <cell r="K18">
            <v>8799.154</v>
          </cell>
          <cell r="M18">
            <v>200</v>
          </cell>
          <cell r="R18">
            <v>2283.9600000000005</v>
          </cell>
          <cell r="W18">
            <v>945</v>
          </cell>
        </row>
      </sheetData>
      <sheetData sheetId="17" refreshError="1">
        <row r="18">
          <cell r="G18">
            <v>281.21794871794873</v>
          </cell>
          <cell r="M18">
            <v>50</v>
          </cell>
          <cell r="R18">
            <v>318.871</v>
          </cell>
          <cell r="W18">
            <v>345</v>
          </cell>
        </row>
      </sheetData>
      <sheetData sheetId="18" refreshError="1">
        <row r="22">
          <cell r="G22">
            <v>951.5384615384615</v>
          </cell>
          <cell r="K22">
            <v>195.95316666666668</v>
          </cell>
          <cell r="M22">
            <v>75</v>
          </cell>
          <cell r="R22">
            <v>318.871</v>
          </cell>
          <cell r="W22">
            <v>3800</v>
          </cell>
        </row>
      </sheetData>
      <sheetData sheetId="19" refreshError="1">
        <row r="25">
          <cell r="G25">
            <v>175.9775641025641</v>
          </cell>
          <cell r="M25">
            <v>860</v>
          </cell>
          <cell r="R25">
            <v>1418.3600000000001</v>
          </cell>
          <cell r="W25">
            <v>195</v>
          </cell>
        </row>
      </sheetData>
      <sheetData sheetId="20" refreshError="1">
        <row r="15">
          <cell r="G15">
            <v>211.39423076923077</v>
          </cell>
          <cell r="M15">
            <v>260</v>
          </cell>
          <cell r="R15">
            <v>1056.952</v>
          </cell>
          <cell r="W15">
            <v>195</v>
          </cell>
        </row>
      </sheetData>
      <sheetData sheetId="21" refreshError="1"/>
      <sheetData sheetId="22" refreshError="1">
        <row r="15">
          <cell r="G15">
            <v>109.47115384615385</v>
          </cell>
          <cell r="K15">
            <v>0</v>
          </cell>
          <cell r="M15">
            <v>275</v>
          </cell>
          <cell r="R15">
            <v>211.48100000000005</v>
          </cell>
          <cell r="W15">
            <v>180</v>
          </cell>
        </row>
      </sheetData>
      <sheetData sheetId="23" refreshError="1">
        <row r="15">
          <cell r="G15">
            <v>109.47115384615385</v>
          </cell>
          <cell r="M15">
            <v>300</v>
          </cell>
          <cell r="R15">
            <v>30615.981000000003</v>
          </cell>
          <cell r="W15">
            <v>180</v>
          </cell>
        </row>
      </sheetData>
      <sheetData sheetId="24" refreshError="1"/>
      <sheetData sheetId="25" refreshError="1">
        <row r="18">
          <cell r="G18">
            <v>5581.3733974358975</v>
          </cell>
          <cell r="M18">
            <v>23097</v>
          </cell>
          <cell r="R18">
            <v>2395.1300000000006</v>
          </cell>
          <cell r="W18">
            <v>3350</v>
          </cell>
        </row>
      </sheetData>
      <sheetData sheetId="26" refreshError="1">
        <row r="22">
          <cell r="G22">
            <v>5440.379807692308</v>
          </cell>
          <cell r="K22">
            <v>475.86175000000003</v>
          </cell>
          <cell r="M22">
            <v>1600</v>
          </cell>
          <cell r="R22">
            <v>15658.547</v>
          </cell>
          <cell r="W22">
            <v>3350</v>
          </cell>
          <cell r="X22">
            <v>26524.788557692307</v>
          </cell>
        </row>
      </sheetData>
      <sheetData sheetId="27" refreshError="1">
        <row r="20">
          <cell r="G20">
            <v>254.59935897435898</v>
          </cell>
          <cell r="K20">
            <v>0</v>
          </cell>
          <cell r="M20">
            <v>1600</v>
          </cell>
          <cell r="R20">
            <v>1557.727</v>
          </cell>
          <cell r="W20">
            <v>600</v>
          </cell>
          <cell r="X20">
            <v>4012.3263589743588</v>
          </cell>
        </row>
      </sheetData>
      <sheetData sheetId="28" refreshError="1"/>
      <sheetData sheetId="29" refreshError="1">
        <row r="18">
          <cell r="G18">
            <v>401.3461538461538</v>
          </cell>
          <cell r="K18">
            <v>475.86175000000003</v>
          </cell>
          <cell r="M18">
            <v>1760</v>
          </cell>
          <cell r="R18">
            <v>285.07</v>
          </cell>
          <cell r="W18">
            <v>750</v>
          </cell>
        </row>
      </sheetData>
      <sheetData sheetId="30" refreshError="1">
        <row r="21">
          <cell r="G21">
            <v>59.11057692307692</v>
          </cell>
          <cell r="M21">
            <v>750</v>
          </cell>
          <cell r="R21">
            <v>0</v>
          </cell>
          <cell r="W21">
            <v>135</v>
          </cell>
        </row>
      </sheetData>
      <sheetData sheetId="31" refreshError="1">
        <row r="21">
          <cell r="G21">
            <v>59.11057692307692</v>
          </cell>
          <cell r="M21">
            <v>750</v>
          </cell>
          <cell r="R21">
            <v>310.25000000000006</v>
          </cell>
          <cell r="W21">
            <v>135</v>
          </cell>
        </row>
      </sheetData>
      <sheetData sheetId="32" refreshError="1">
        <row r="21">
          <cell r="G21">
            <v>59.11057692307692</v>
          </cell>
          <cell r="M21">
            <v>750</v>
          </cell>
          <cell r="R21">
            <v>620.5000000000001</v>
          </cell>
          <cell r="W21">
            <v>135</v>
          </cell>
        </row>
      </sheetData>
      <sheetData sheetId="33" refreshError="1">
        <row r="21">
          <cell r="G21">
            <v>59.11057692307692</v>
          </cell>
          <cell r="M21">
            <v>1680</v>
          </cell>
          <cell r="R21">
            <v>620.5000000000001</v>
          </cell>
          <cell r="W21">
            <v>135</v>
          </cell>
        </row>
      </sheetData>
      <sheetData sheetId="34" refreshError="1"/>
      <sheetData sheetId="35" refreshError="1">
        <row r="19">
          <cell r="G19">
            <v>2499.1346153846152</v>
          </cell>
          <cell r="M19">
            <v>895</v>
          </cell>
          <cell r="R19">
            <v>164.628</v>
          </cell>
          <cell r="W19">
            <v>4200</v>
          </cell>
        </row>
      </sheetData>
      <sheetData sheetId="36" refreshError="1">
        <row r="16">
          <cell r="G16">
            <v>2499.1346153846152</v>
          </cell>
          <cell r="M16">
            <v>930</v>
          </cell>
          <cell r="R16">
            <v>1314.666</v>
          </cell>
          <cell r="W16">
            <v>4200</v>
          </cell>
        </row>
      </sheetData>
      <sheetData sheetId="37" refreshError="1">
        <row r="15">
          <cell r="G15">
            <v>2499.1346153846152</v>
          </cell>
          <cell r="M15">
            <v>260</v>
          </cell>
          <cell r="R15">
            <v>12.75</v>
          </cell>
          <cell r="W15">
            <v>4200</v>
          </cell>
        </row>
      </sheetData>
      <sheetData sheetId="38" refreshError="1">
        <row r="15">
          <cell r="G15">
            <v>2499.1346153846152</v>
          </cell>
          <cell r="M15">
            <v>980</v>
          </cell>
          <cell r="R15">
            <v>1766.4</v>
          </cell>
          <cell r="W15">
            <v>2100</v>
          </cell>
        </row>
      </sheetData>
      <sheetData sheetId="39" refreshError="1">
        <row r="21">
          <cell r="G21">
            <v>412.1266025641026</v>
          </cell>
          <cell r="K21">
            <v>550.14305</v>
          </cell>
          <cell r="M21">
            <v>20</v>
          </cell>
          <cell r="R21">
            <v>130.44400000000002</v>
          </cell>
          <cell r="W21">
            <v>3490</v>
          </cell>
        </row>
      </sheetData>
      <sheetData sheetId="40" refreshError="1">
        <row r="18">
          <cell r="G18">
            <v>126.81810897435898</v>
          </cell>
          <cell r="K18">
            <v>9.79524</v>
          </cell>
          <cell r="R18">
            <v>59.29200000000001</v>
          </cell>
          <cell r="W18">
            <v>90</v>
          </cell>
        </row>
      </sheetData>
      <sheetData sheetId="41" refreshError="1"/>
      <sheetData sheetId="42" refreshError="1"/>
      <sheetData sheetId="43" refreshError="1">
        <row r="15">
          <cell r="G15">
            <v>84.69551282051282</v>
          </cell>
          <cell r="R15">
            <v>8992.32</v>
          </cell>
          <cell r="W15">
            <v>270</v>
          </cell>
        </row>
      </sheetData>
      <sheetData sheetId="44" refreshError="1">
        <row r="15">
          <cell r="G15">
            <v>148.3894230769231</v>
          </cell>
          <cell r="R15">
            <v>10761.204</v>
          </cell>
          <cell r="W15">
            <v>360</v>
          </cell>
        </row>
      </sheetData>
      <sheetData sheetId="45" refreshError="1">
        <row r="15">
          <cell r="G15">
            <v>326.6185897435898</v>
          </cell>
          <cell r="M15">
            <v>50</v>
          </cell>
          <cell r="R15">
            <v>28803.816000000003</v>
          </cell>
          <cell r="W15">
            <v>360</v>
          </cell>
        </row>
      </sheetData>
      <sheetData sheetId="46" refreshError="1">
        <row r="15">
          <cell r="G15">
            <v>404.88782051282055</v>
          </cell>
          <cell r="R15">
            <v>52537.664000000004</v>
          </cell>
          <cell r="W15">
            <v>540</v>
          </cell>
        </row>
      </sheetData>
      <sheetData sheetId="47" refreshError="1">
        <row r="15">
          <cell r="G15">
            <v>326.6185897435898</v>
          </cell>
          <cell r="R15">
            <v>23332.2</v>
          </cell>
          <cell r="W15">
            <v>360</v>
          </cell>
        </row>
      </sheetData>
      <sheetData sheetId="48" refreshError="1">
        <row r="14">
          <cell r="G14">
            <v>25.82932692307692</v>
          </cell>
          <cell r="M14">
            <v>20</v>
          </cell>
          <cell r="R14">
            <v>8.84</v>
          </cell>
          <cell r="W14">
            <v>135</v>
          </cell>
        </row>
        <row r="22">
          <cell r="G22">
            <v>401.9230769230769</v>
          </cell>
          <cell r="M22">
            <v>30</v>
          </cell>
          <cell r="R22">
            <v>316.75</v>
          </cell>
          <cell r="W22">
            <v>495</v>
          </cell>
        </row>
      </sheetData>
      <sheetData sheetId="49" refreshError="1">
        <row r="14">
          <cell r="G14">
            <v>25.82932692307692</v>
          </cell>
          <cell r="M14">
            <v>20</v>
          </cell>
          <cell r="R14">
            <v>7.4</v>
          </cell>
          <cell r="W14">
            <v>135</v>
          </cell>
        </row>
      </sheetData>
      <sheetData sheetId="50" refreshError="1">
        <row r="15">
          <cell r="G15">
            <v>326.6185897435898</v>
          </cell>
          <cell r="R15">
            <v>23332.2</v>
          </cell>
          <cell r="W15">
            <v>360</v>
          </cell>
        </row>
      </sheetData>
      <sheetData sheetId="51" refreshError="1">
        <row r="13">
          <cell r="G13">
            <v>21.001602564102562</v>
          </cell>
          <cell r="M13">
            <v>250</v>
          </cell>
          <cell r="R13">
            <v>4.986</v>
          </cell>
          <cell r="W13">
            <v>150</v>
          </cell>
        </row>
        <row r="21">
          <cell r="G21">
            <v>401.9230769230769</v>
          </cell>
          <cell r="M21">
            <v>250</v>
          </cell>
          <cell r="R21">
            <v>75.96600000000001</v>
          </cell>
          <cell r="W21">
            <v>1800</v>
          </cell>
        </row>
      </sheetData>
      <sheetData sheetId="52" refreshError="1">
        <row r="14">
          <cell r="G14">
            <v>420.03205128205127</v>
          </cell>
          <cell r="M14">
            <v>250</v>
          </cell>
          <cell r="R14">
            <v>0</v>
          </cell>
          <cell r="W14">
            <v>900</v>
          </cell>
        </row>
      </sheetData>
      <sheetData sheetId="53" refreshError="1">
        <row r="15">
          <cell r="G15">
            <v>63.00480769230769</v>
          </cell>
          <cell r="M15">
            <v>250</v>
          </cell>
          <cell r="R15">
            <v>0</v>
          </cell>
          <cell r="W15">
            <v>345</v>
          </cell>
        </row>
      </sheetData>
      <sheetData sheetId="54" refreshError="1"/>
      <sheetData sheetId="55" refreshError="1">
        <row r="15">
          <cell r="G15">
            <v>252.01923076923077</v>
          </cell>
          <cell r="M15">
            <v>250</v>
          </cell>
          <cell r="R15">
            <v>0</v>
          </cell>
          <cell r="W15">
            <v>45</v>
          </cell>
        </row>
      </sheetData>
      <sheetData sheetId="56" refreshError="1"/>
      <sheetData sheetId="57" refreshError="1">
        <row r="17">
          <cell r="G17">
            <v>126.16586538461539</v>
          </cell>
          <cell r="M17">
            <v>960</v>
          </cell>
          <cell r="R17">
            <v>1116.9</v>
          </cell>
          <cell r="W17">
            <v>1800</v>
          </cell>
        </row>
      </sheetData>
      <sheetData sheetId="58" refreshError="1">
        <row r="14">
          <cell r="G14">
            <v>559.3349358974359</v>
          </cell>
          <cell r="W14">
            <v>900</v>
          </cell>
        </row>
        <row r="23">
          <cell r="G23">
            <v>2888.2371794871797</v>
          </cell>
          <cell r="K23">
            <v>130.13</v>
          </cell>
          <cell r="W23">
            <v>6400</v>
          </cell>
        </row>
      </sheetData>
      <sheetData sheetId="59" refreshError="1">
        <row r="15">
          <cell r="G15">
            <v>559.3349358974359</v>
          </cell>
          <cell r="W15">
            <v>900</v>
          </cell>
        </row>
        <row r="24">
          <cell r="G24">
            <v>2766.6426282051284</v>
          </cell>
          <cell r="K24">
            <v>243.99375</v>
          </cell>
          <cell r="W24">
            <v>6400</v>
          </cell>
        </row>
      </sheetData>
      <sheetData sheetId="60" refreshError="1">
        <row r="14">
          <cell r="G14">
            <v>267.5080128205128</v>
          </cell>
          <cell r="W14">
            <v>900</v>
          </cell>
        </row>
      </sheetData>
      <sheetData sheetId="61" refreshError="1">
        <row r="14">
          <cell r="G14">
            <v>267.5080128205128</v>
          </cell>
          <cell r="W14">
            <v>900</v>
          </cell>
        </row>
        <row r="20">
          <cell r="G20">
            <v>2596.4102564102564</v>
          </cell>
          <cell r="W20">
            <v>6400</v>
          </cell>
        </row>
      </sheetData>
      <sheetData sheetId="62" refreshError="1">
        <row r="14">
          <cell r="G14">
            <v>812.0432692307692</v>
          </cell>
          <cell r="W14">
            <v>1050</v>
          </cell>
        </row>
      </sheetData>
      <sheetData sheetId="63" refreshError="1"/>
      <sheetData sheetId="64" refreshError="1">
        <row r="14">
          <cell r="G14">
            <v>559.3349358974359</v>
          </cell>
          <cell r="W14">
            <v>1050</v>
          </cell>
        </row>
      </sheetData>
      <sheetData sheetId="65" refreshError="1">
        <row r="13">
          <cell r="G13">
            <v>559.3349358974359</v>
          </cell>
          <cell r="W13">
            <v>1050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e Pack OP"/>
    </sheetNames>
    <sheetDataSet>
      <sheetData sheetId="0" refreshError="1">
        <row r="15">
          <cell r="L15">
            <v>200.27333333333334</v>
          </cell>
        </row>
        <row r="17">
          <cell r="L17">
            <v>79.96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nake bite"/>
      <sheetName val="Sheet3"/>
    </sheetNames>
    <sheetDataSet>
      <sheetData sheetId="0" refreshError="1">
        <row r="11">
          <cell r="F11">
            <v>3957676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02"/>
  <sheetViews>
    <sheetView tabSelected="1" workbookViewId="0" topLeftCell="A209">
      <selection activeCell="B223" sqref="B223"/>
    </sheetView>
  </sheetViews>
  <sheetFormatPr defaultColWidth="9.140625" defaultRowHeight="15"/>
  <cols>
    <col min="1" max="1" width="5.00390625" style="0" bestFit="1" customWidth="1"/>
    <col min="2" max="2" width="41.8515625" style="0" customWidth="1"/>
    <col min="3" max="3" width="50.28125" style="0" customWidth="1"/>
    <col min="4" max="4" width="16.28125" style="0" bestFit="1" customWidth="1"/>
    <col min="5" max="5" width="14.7109375" style="225" bestFit="1" customWidth="1"/>
    <col min="6" max="6" width="15.57421875" style="225" customWidth="1"/>
    <col min="7" max="7" width="16.28125" style="225" bestFit="1" customWidth="1"/>
    <col min="8" max="8" width="15.7109375" style="225" bestFit="1" customWidth="1"/>
    <col min="9" max="9" width="17.00390625" style="225" bestFit="1" customWidth="1"/>
    <col min="10" max="10" width="14.57421875" style="0" bestFit="1" customWidth="1"/>
    <col min="11" max="11" width="11.57421875" style="0" bestFit="1" customWidth="1"/>
    <col min="14" max="14" width="12.57421875" style="0" bestFit="1" customWidth="1"/>
    <col min="15" max="15" width="10.57421875" style="0" bestFit="1" customWidth="1"/>
    <col min="16" max="16" width="14.7109375" style="0" bestFit="1" customWidth="1"/>
    <col min="17" max="18" width="11.00390625" style="0" bestFit="1" customWidth="1"/>
    <col min="19" max="19" width="11.57421875" style="0" bestFit="1" customWidth="1"/>
    <col min="21" max="22" width="12.57421875" style="0" bestFit="1" customWidth="1"/>
  </cols>
  <sheetData>
    <row r="1" spans="1:77" ht="15">
      <c r="A1" s="87"/>
      <c r="B1" s="87"/>
      <c r="C1" s="87"/>
      <c r="D1" s="87"/>
      <c r="E1" s="127"/>
      <c r="F1" s="127"/>
      <c r="G1" s="127"/>
      <c r="H1" s="127"/>
      <c r="I1" s="12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</row>
    <row r="2" spans="1:77" ht="15.75">
      <c r="A2" s="353" t="s">
        <v>0</v>
      </c>
      <c r="B2" s="353"/>
      <c r="C2" s="353"/>
      <c r="D2" s="353"/>
      <c r="E2" s="353"/>
      <c r="F2" s="353"/>
      <c r="G2" s="353"/>
      <c r="H2" s="353"/>
      <c r="I2" s="353"/>
      <c r="J2" s="2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</row>
    <row r="3" spans="1:77" s="5" customFormat="1" ht="15">
      <c r="A3" s="288"/>
      <c r="B3" s="352" t="s">
        <v>297</v>
      </c>
      <c r="C3" s="288" t="s">
        <v>1</v>
      </c>
      <c r="D3" s="288"/>
      <c r="E3" s="288" t="s">
        <v>2</v>
      </c>
      <c r="F3" s="289" t="s">
        <v>3</v>
      </c>
      <c r="G3" s="289" t="s">
        <v>4</v>
      </c>
      <c r="H3" s="289" t="s">
        <v>5</v>
      </c>
      <c r="I3" s="289" t="s">
        <v>6</v>
      </c>
      <c r="J3" s="289" t="s">
        <v>7</v>
      </c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</row>
    <row r="4" spans="1:77" ht="15">
      <c r="A4" s="287"/>
      <c r="B4" s="287"/>
      <c r="C4" s="287"/>
      <c r="D4" s="287"/>
      <c r="E4" s="287"/>
      <c r="F4" s="290"/>
      <c r="G4" s="290"/>
      <c r="H4" s="290"/>
      <c r="I4" s="290"/>
      <c r="J4" s="290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</row>
    <row r="5" spans="1:77" ht="15">
      <c r="A5" s="291" t="s">
        <v>8</v>
      </c>
      <c r="B5" s="291" t="s">
        <v>9</v>
      </c>
      <c r="C5" s="291" t="s">
        <v>9</v>
      </c>
      <c r="D5" s="291"/>
      <c r="E5" s="291"/>
      <c r="F5" s="292"/>
      <c r="G5" s="292"/>
      <c r="H5" s="292"/>
      <c r="I5" s="292"/>
      <c r="J5" s="292"/>
      <c r="K5" s="262"/>
      <c r="L5" s="263"/>
      <c r="M5" s="263"/>
      <c r="N5" s="263"/>
      <c r="O5" s="263"/>
      <c r="P5" s="263"/>
      <c r="Q5" s="87"/>
      <c r="R5" s="262"/>
      <c r="S5" s="263"/>
      <c r="T5" s="263"/>
      <c r="U5" s="263"/>
      <c r="V5" s="263"/>
      <c r="W5" s="263"/>
      <c r="X5" s="263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</row>
    <row r="6" spans="1:77" s="20" customFormat="1" ht="15">
      <c r="A6" s="93">
        <v>1</v>
      </c>
      <c r="B6" s="164" t="s">
        <v>243</v>
      </c>
      <c r="C6" s="293" t="s">
        <v>11</v>
      </c>
      <c r="D6" s="294"/>
      <c r="E6" s="295">
        <f>K6*$J6/100</f>
        <v>0</v>
      </c>
      <c r="F6" s="295">
        <f>L6*$J6/100</f>
        <v>0</v>
      </c>
      <c r="G6" s="295">
        <f>M6*$J6/100</f>
        <v>0</v>
      </c>
      <c r="H6" s="295">
        <f>N6*$J6/100</f>
        <v>0</v>
      </c>
      <c r="I6" s="295">
        <f>O6*$J6/100</f>
        <v>0</v>
      </c>
      <c r="J6" s="294">
        <f>84.5*2.37</f>
        <v>200.26500000000001</v>
      </c>
      <c r="K6" s="18"/>
      <c r="L6" s="19"/>
      <c r="M6" s="19"/>
      <c r="N6" s="19"/>
      <c r="O6" s="19"/>
      <c r="P6" s="19"/>
      <c r="Q6" s="74"/>
      <c r="R6" s="18"/>
      <c r="S6" s="19"/>
      <c r="T6" s="19"/>
      <c r="U6" s="19"/>
      <c r="V6" s="19"/>
      <c r="W6" s="19"/>
      <c r="X6" s="19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</row>
    <row r="7" spans="1:77" ht="15">
      <c r="A7" s="287">
        <v>2</v>
      </c>
      <c r="B7" s="330" t="s">
        <v>244</v>
      </c>
      <c r="C7" s="33" t="s">
        <v>12</v>
      </c>
      <c r="D7" s="33"/>
      <c r="E7" s="29">
        <f>'[1]CH a'!G30</f>
        <v>475.7692307692308</v>
      </c>
      <c r="F7" s="30">
        <f>'[1]CH a'!K30</f>
        <v>1336.8294333333333</v>
      </c>
      <c r="G7" s="30"/>
      <c r="H7" s="30">
        <f>'[1]CH a'!R30</f>
        <v>449.519</v>
      </c>
      <c r="I7" s="30">
        <f>'[1]CH a'!W30</f>
        <v>145</v>
      </c>
      <c r="J7" s="30">
        <f aca="true" t="shared" si="0" ref="J7:J16">SUM(E7:I7)</f>
        <v>2407.117664102564</v>
      </c>
      <c r="K7" s="41"/>
      <c r="L7" s="41"/>
      <c r="M7" s="41"/>
      <c r="N7" s="41"/>
      <c r="O7" s="41"/>
      <c r="P7" s="41"/>
      <c r="Q7" s="62"/>
      <c r="R7" s="41"/>
      <c r="S7" s="41"/>
      <c r="T7" s="41"/>
      <c r="U7" s="41"/>
      <c r="V7" s="41"/>
      <c r="W7" s="41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</row>
    <row r="8" spans="1:77" ht="15">
      <c r="A8" s="287">
        <v>3</v>
      </c>
      <c r="B8" s="318" t="s">
        <v>245</v>
      </c>
      <c r="C8" s="28" t="s">
        <v>13</v>
      </c>
      <c r="D8" s="28"/>
      <c r="E8" s="29">
        <f>'[1]CH b'!G17</f>
        <v>6171.778846153846</v>
      </c>
      <c r="F8" s="30"/>
      <c r="G8" s="30">
        <f>'[1]CH b'!M17</f>
        <v>30</v>
      </c>
      <c r="H8" s="30">
        <f>'[1]CH b'!R17</f>
        <v>471.72</v>
      </c>
      <c r="I8" s="30">
        <f>'[1]CH b'!W17</f>
        <v>745</v>
      </c>
      <c r="J8" s="30">
        <f t="shared" si="0"/>
        <v>7418.498846153846</v>
      </c>
      <c r="K8" s="41"/>
      <c r="L8" s="41"/>
      <c r="M8" s="41"/>
      <c r="N8" s="41"/>
      <c r="O8" s="41"/>
      <c r="P8" s="41"/>
      <c r="Q8" s="62"/>
      <c r="R8" s="112"/>
      <c r="S8" s="112"/>
      <c r="T8" s="112"/>
      <c r="U8" s="112"/>
      <c r="V8" s="112"/>
      <c r="W8" s="112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</row>
    <row r="9" spans="1:77" ht="15">
      <c r="A9" s="287">
        <v>4</v>
      </c>
      <c r="B9" s="318" t="s">
        <v>246</v>
      </c>
      <c r="C9" s="33" t="s">
        <v>14</v>
      </c>
      <c r="D9" s="33"/>
      <c r="E9" s="29">
        <f>'[1]CH c'!G27</f>
        <v>770.6971153846154</v>
      </c>
      <c r="F9" s="30">
        <f>'[1]CH c'!K27</f>
        <v>158.52200000000002</v>
      </c>
      <c r="G9" s="30">
        <f>'[1]CH c'!M27</f>
        <v>25</v>
      </c>
      <c r="H9" s="30">
        <f>'[1]CH c'!R27</f>
        <v>143.56</v>
      </c>
      <c r="I9" s="30">
        <f>'[1]CH c'!W27</f>
        <v>1650</v>
      </c>
      <c r="J9" s="30">
        <f t="shared" si="0"/>
        <v>2747.7791153846156</v>
      </c>
      <c r="K9" s="41"/>
      <c r="L9" s="41"/>
      <c r="M9" s="41"/>
      <c r="N9" s="41"/>
      <c r="O9" s="41"/>
      <c r="P9" s="41"/>
      <c r="Q9" s="62"/>
      <c r="R9" s="112"/>
      <c r="S9" s="112"/>
      <c r="T9" s="112"/>
      <c r="U9" s="112"/>
      <c r="V9" s="112"/>
      <c r="W9" s="112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</row>
    <row r="10" spans="1:77" ht="15">
      <c r="A10" s="287">
        <v>5</v>
      </c>
      <c r="B10" s="331" t="s">
        <v>20</v>
      </c>
      <c r="C10" s="33" t="s">
        <v>15</v>
      </c>
      <c r="D10" s="33"/>
      <c r="E10" s="29">
        <f>'[1]CH c'!G33</f>
        <v>164.9278846153846</v>
      </c>
      <c r="F10" s="30">
        <f>'[1]CH c'!K33</f>
        <v>141.96</v>
      </c>
      <c r="G10" s="30"/>
      <c r="H10" s="30">
        <f>'[1]CH c'!R33</f>
        <v>0</v>
      </c>
      <c r="I10" s="30">
        <f>'[1]CH c'!W33</f>
        <v>1490</v>
      </c>
      <c r="J10" s="30">
        <f t="shared" si="0"/>
        <v>1796.8878846153846</v>
      </c>
      <c r="K10" s="41"/>
      <c r="L10" s="41"/>
      <c r="M10" s="41"/>
      <c r="N10" s="41"/>
      <c r="O10" s="41"/>
      <c r="P10" s="41"/>
      <c r="Q10" s="62"/>
      <c r="R10" s="112"/>
      <c r="S10" s="112"/>
      <c r="T10" s="112"/>
      <c r="U10" s="112"/>
      <c r="V10" s="112"/>
      <c r="W10" s="112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</row>
    <row r="11" spans="1:77" ht="15">
      <c r="A11" s="287">
        <v>6</v>
      </c>
      <c r="B11" s="331" t="s">
        <v>247</v>
      </c>
      <c r="C11" s="33" t="s">
        <v>16</v>
      </c>
      <c r="D11" s="33"/>
      <c r="E11" s="29">
        <f>'[1]CH ARI'!G30</f>
        <v>21.346153846153847</v>
      </c>
      <c r="F11" s="30"/>
      <c r="G11" s="30"/>
      <c r="H11" s="30">
        <f>'[1]CH ARI'!R30</f>
        <v>685.425</v>
      </c>
      <c r="I11" s="30">
        <f>'[1]CH ARI'!W30</f>
        <v>50</v>
      </c>
      <c r="J11" s="30">
        <f t="shared" si="0"/>
        <v>756.7711538461538</v>
      </c>
      <c r="K11" s="41"/>
      <c r="L11" s="41"/>
      <c r="M11" s="41"/>
      <c r="N11" s="41"/>
      <c r="O11" s="41"/>
      <c r="P11" s="41"/>
      <c r="Q11" s="62"/>
      <c r="R11" s="112"/>
      <c r="S11" s="112"/>
      <c r="T11" s="112"/>
      <c r="U11" s="112"/>
      <c r="V11" s="112"/>
      <c r="W11" s="112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</row>
    <row r="12" spans="1:77" ht="15">
      <c r="A12" s="287">
        <v>7</v>
      </c>
      <c r="B12" s="332" t="s">
        <v>248</v>
      </c>
      <c r="C12" s="33" t="s">
        <v>17</v>
      </c>
      <c r="D12" s="33"/>
      <c r="E12" s="29">
        <f>'[1]CH ARI SP'!G20</f>
        <v>2378.846153846154</v>
      </c>
      <c r="F12" s="30"/>
      <c r="G12" s="30">
        <f>'[1]CH ARI SP'!M20</f>
        <v>260</v>
      </c>
      <c r="H12" s="30">
        <f>'[1]CH ARI SP'!R20</f>
        <v>3535.3</v>
      </c>
      <c r="I12" s="30">
        <f>'[1]CH ARI SP'!W20</f>
        <v>590</v>
      </c>
      <c r="J12" s="30">
        <f t="shared" si="0"/>
        <v>6764.1461538461535</v>
      </c>
      <c r="K12" s="41"/>
      <c r="L12" s="41"/>
      <c r="M12" s="41"/>
      <c r="N12" s="41"/>
      <c r="O12" s="41"/>
      <c r="P12" s="41"/>
      <c r="Q12" s="62"/>
      <c r="R12" s="112"/>
      <c r="S12" s="112"/>
      <c r="T12" s="112"/>
      <c r="U12" s="112"/>
      <c r="V12" s="112"/>
      <c r="W12" s="112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</row>
    <row r="13" spans="1:77" ht="15">
      <c r="A13" s="287">
        <v>8</v>
      </c>
      <c r="B13" s="331" t="s">
        <v>249</v>
      </c>
      <c r="C13" s="33" t="s">
        <v>18</v>
      </c>
      <c r="D13" s="33"/>
      <c r="E13" s="29">
        <f>'[1]CH D D'!G31</f>
        <v>170.76923076923077</v>
      </c>
      <c r="F13" s="30"/>
      <c r="G13" s="30"/>
      <c r="H13" s="30">
        <f>'[1]CH D D'!R31</f>
        <v>4.68</v>
      </c>
      <c r="I13" s="30">
        <f>'[1]CH D D'!W31</f>
        <v>50</v>
      </c>
      <c r="J13" s="30">
        <f t="shared" si="0"/>
        <v>225.44923076923078</v>
      </c>
      <c r="K13" s="41"/>
      <c r="L13" s="41"/>
      <c r="M13" s="41"/>
      <c r="N13" s="41"/>
      <c r="O13" s="41"/>
      <c r="P13" s="41"/>
      <c r="Q13" s="34"/>
      <c r="R13" s="112"/>
      <c r="S13" s="112"/>
      <c r="T13" s="112"/>
      <c r="U13" s="112"/>
      <c r="V13" s="112"/>
      <c r="W13" s="112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</row>
    <row r="14" spans="1:77" ht="15">
      <c r="A14" s="287">
        <v>9</v>
      </c>
      <c r="B14" s="331" t="s">
        <v>12</v>
      </c>
      <c r="C14" s="33" t="s">
        <v>19</v>
      </c>
      <c r="D14" s="33"/>
      <c r="E14" s="29">
        <f>'[1]CH D nD'!G13</f>
        <v>624.7836538461538</v>
      </c>
      <c r="F14" s="30"/>
      <c r="G14" s="30">
        <f>'[1]CH D nD'!M13</f>
        <v>25</v>
      </c>
      <c r="H14" s="30">
        <f>'[1]CH D nD'!R13</f>
        <v>2504.7000000000003</v>
      </c>
      <c r="I14" s="30">
        <f>'[1]CH D nD'!W13</f>
        <v>145</v>
      </c>
      <c r="J14" s="30">
        <f t="shared" si="0"/>
        <v>3299.483653846154</v>
      </c>
      <c r="K14" s="41"/>
      <c r="L14" s="41"/>
      <c r="M14" s="41"/>
      <c r="N14" s="41"/>
      <c r="O14" s="41"/>
      <c r="P14" s="41"/>
      <c r="Q14" s="34"/>
      <c r="R14" s="112"/>
      <c r="S14" s="112"/>
      <c r="T14" s="112"/>
      <c r="U14" s="112"/>
      <c r="V14" s="112"/>
      <c r="W14" s="112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</row>
    <row r="15" spans="1:77" ht="15">
      <c r="A15" s="287">
        <v>10</v>
      </c>
      <c r="B15" s="331" t="s">
        <v>13</v>
      </c>
      <c r="C15" s="33" t="s">
        <v>20</v>
      </c>
      <c r="D15" s="33"/>
      <c r="E15" s="29">
        <f>'[1]CH D'!G29</f>
        <v>21.346153846153847</v>
      </c>
      <c r="F15" s="30"/>
      <c r="G15" s="30"/>
      <c r="H15" s="30">
        <f>'[1]CH D'!R29</f>
        <v>41.65</v>
      </c>
      <c r="I15" s="30">
        <f>'[1]CH D'!W29</f>
        <v>25</v>
      </c>
      <c r="J15" s="30">
        <f t="shared" si="0"/>
        <v>87.99615384615385</v>
      </c>
      <c r="K15" s="41"/>
      <c r="L15" s="41"/>
      <c r="M15" s="41"/>
      <c r="N15" s="41"/>
      <c r="O15" s="41"/>
      <c r="P15" s="41"/>
      <c r="Q15" s="34"/>
      <c r="R15" s="112"/>
      <c r="S15" s="112"/>
      <c r="T15" s="112"/>
      <c r="U15" s="112"/>
      <c r="V15" s="112"/>
      <c r="W15" s="112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</row>
    <row r="16" spans="1:77" ht="15">
      <c r="A16" s="296">
        <v>11</v>
      </c>
      <c r="B16" s="330" t="s">
        <v>250</v>
      </c>
      <c r="C16" s="33" t="s">
        <v>21</v>
      </c>
      <c r="D16" s="33"/>
      <c r="E16" s="29">
        <f>'[1]CH M'!G20</f>
        <v>2308.9903846153848</v>
      </c>
      <c r="F16" s="30"/>
      <c r="G16" s="30">
        <f>'[1]CH M'!M20</f>
        <v>100</v>
      </c>
      <c r="H16" s="30">
        <f>'[1]CH M'!R20</f>
        <v>32.76</v>
      </c>
      <c r="I16" s="30">
        <f>'[1]CH M'!W20</f>
        <v>745</v>
      </c>
      <c r="J16" s="30">
        <f t="shared" si="0"/>
        <v>3186.750384615385</v>
      </c>
      <c r="K16" s="41"/>
      <c r="L16" s="41"/>
      <c r="M16" s="41"/>
      <c r="N16" s="41"/>
      <c r="O16" s="41"/>
      <c r="P16" s="41"/>
      <c r="Q16" s="62"/>
      <c r="R16" s="112"/>
      <c r="S16" s="112"/>
      <c r="T16" s="112"/>
      <c r="U16" s="112"/>
      <c r="V16" s="112"/>
      <c r="W16" s="112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</row>
    <row r="17" spans="1:77" ht="15">
      <c r="A17" s="287" t="s">
        <v>22</v>
      </c>
      <c r="B17" s="318" t="s">
        <v>251</v>
      </c>
      <c r="C17" s="28"/>
      <c r="D17" s="297"/>
      <c r="E17" s="290"/>
      <c r="F17" s="290"/>
      <c r="G17" s="290"/>
      <c r="H17" s="290"/>
      <c r="I17" s="290"/>
      <c r="J17" s="298"/>
      <c r="K17" s="41"/>
      <c r="L17" s="41"/>
      <c r="M17" s="41"/>
      <c r="N17" s="41"/>
      <c r="O17" s="41"/>
      <c r="P17" s="62"/>
      <c r="Q17" s="112"/>
      <c r="R17" s="112"/>
      <c r="S17" s="112"/>
      <c r="T17" s="112"/>
      <c r="U17" s="112"/>
      <c r="V17" s="112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</row>
    <row r="18" spans="1:77" ht="15">
      <c r="A18" s="287"/>
      <c r="B18" s="318" t="s">
        <v>252</v>
      </c>
      <c r="C18" s="28"/>
      <c r="D18" s="297"/>
      <c r="E18" s="290"/>
      <c r="F18" s="290"/>
      <c r="G18" s="290"/>
      <c r="H18" s="290"/>
      <c r="I18" s="290"/>
      <c r="J18" s="298"/>
      <c r="K18" s="41"/>
      <c r="L18" s="41"/>
      <c r="M18" s="41"/>
      <c r="N18" s="41"/>
      <c r="O18" s="41"/>
      <c r="P18" s="62"/>
      <c r="Q18" s="112"/>
      <c r="R18" s="112"/>
      <c r="S18" s="112"/>
      <c r="T18" s="112"/>
      <c r="U18" s="112"/>
      <c r="V18" s="112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</row>
    <row r="19" spans="1:77" ht="15">
      <c r="A19" s="287"/>
      <c r="B19" s="331" t="s">
        <v>253</v>
      </c>
      <c r="C19" s="28"/>
      <c r="D19" s="297"/>
      <c r="E19" s="290"/>
      <c r="F19" s="290"/>
      <c r="G19" s="290"/>
      <c r="H19" s="290"/>
      <c r="I19" s="290"/>
      <c r="J19" s="298"/>
      <c r="K19" s="41"/>
      <c r="L19" s="41"/>
      <c r="M19" s="41"/>
      <c r="N19" s="41"/>
      <c r="O19" s="41"/>
      <c r="P19" s="62"/>
      <c r="Q19" s="112"/>
      <c r="R19" s="112"/>
      <c r="S19" s="112"/>
      <c r="T19" s="112"/>
      <c r="U19" s="112"/>
      <c r="V19" s="112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</row>
    <row r="20" spans="1:77" ht="15">
      <c r="A20" s="291" t="s">
        <v>23</v>
      </c>
      <c r="B20" s="291"/>
      <c r="C20" s="291" t="s">
        <v>24</v>
      </c>
      <c r="D20" s="291"/>
      <c r="E20" s="292"/>
      <c r="F20" s="292"/>
      <c r="G20" s="292"/>
      <c r="H20" s="292"/>
      <c r="I20" s="292"/>
      <c r="J20" s="298"/>
      <c r="K20" s="41"/>
      <c r="L20" s="41"/>
      <c r="M20" s="41"/>
      <c r="N20" s="41"/>
      <c r="O20" s="41"/>
      <c r="P20" s="62"/>
      <c r="Q20" s="112"/>
      <c r="R20" s="112"/>
      <c r="S20" s="112"/>
      <c r="T20" s="112"/>
      <c r="U20" s="112"/>
      <c r="V20" s="112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</row>
    <row r="21" spans="1:77" s="48" customFormat="1" ht="15">
      <c r="A21" s="287">
        <v>12</v>
      </c>
      <c r="B21" s="318" t="s">
        <v>25</v>
      </c>
      <c r="C21" s="43" t="s">
        <v>25</v>
      </c>
      <c r="D21" s="44"/>
      <c r="E21" s="295">
        <f aca="true" t="shared" si="1" ref="E21:I22">K21*$J21/100</f>
        <v>0</v>
      </c>
      <c r="F21" s="295">
        <f t="shared" si="1"/>
        <v>0</v>
      </c>
      <c r="G21" s="295">
        <f t="shared" si="1"/>
        <v>0</v>
      </c>
      <c r="H21" s="295">
        <f t="shared" si="1"/>
        <v>0</v>
      </c>
      <c r="I21" s="295">
        <f t="shared" si="1"/>
        <v>0</v>
      </c>
      <c r="J21" s="45">
        <f>278.36*2.37</f>
        <v>659.7132</v>
      </c>
      <c r="K21" s="51"/>
      <c r="L21" s="51"/>
      <c r="M21" s="51"/>
      <c r="N21" s="219"/>
      <c r="O21" s="264"/>
      <c r="P21" s="219"/>
      <c r="Q21" s="219"/>
      <c r="R21" s="51"/>
      <c r="S21" s="51"/>
      <c r="T21" s="219"/>
      <c r="U21" s="51"/>
      <c r="V21" s="219"/>
      <c r="W21" s="51"/>
      <c r="X21" s="219"/>
      <c r="Y21" s="51"/>
      <c r="Z21" s="219"/>
      <c r="AA21" s="51"/>
      <c r="AB21" s="219"/>
      <c r="AC21" s="51"/>
      <c r="AD21" s="219"/>
      <c r="AE21" s="51"/>
      <c r="AF21" s="219"/>
      <c r="AG21" s="51"/>
      <c r="AH21" s="219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</row>
    <row r="22" spans="1:77" s="48" customFormat="1" ht="15">
      <c r="A22" s="287">
        <v>13</v>
      </c>
      <c r="B22" s="318" t="s">
        <v>26</v>
      </c>
      <c r="C22" s="43" t="s">
        <v>26</v>
      </c>
      <c r="D22" s="44"/>
      <c r="E22" s="295">
        <f t="shared" si="1"/>
        <v>0</v>
      </c>
      <c r="F22" s="295">
        <f t="shared" si="1"/>
        <v>0</v>
      </c>
      <c r="G22" s="295">
        <f t="shared" si="1"/>
        <v>0</v>
      </c>
      <c r="H22" s="295">
        <f t="shared" si="1"/>
        <v>0</v>
      </c>
      <c r="I22" s="295">
        <f t="shared" si="1"/>
        <v>0</v>
      </c>
      <c r="J22" s="45">
        <f>509*2.37</f>
        <v>1206.3300000000002</v>
      </c>
      <c r="K22" s="51"/>
      <c r="L22" s="51"/>
      <c r="M22" s="51"/>
      <c r="N22" s="219"/>
      <c r="O22" s="265"/>
      <c r="P22" s="219"/>
      <c r="Q22" s="219"/>
      <c r="R22" s="51"/>
      <c r="S22" s="51"/>
      <c r="T22" s="219"/>
      <c r="U22" s="51"/>
      <c r="V22" s="219"/>
      <c r="W22" s="51"/>
      <c r="X22" s="219"/>
      <c r="Y22" s="51"/>
      <c r="Z22" s="219"/>
      <c r="AA22" s="51"/>
      <c r="AB22" s="219"/>
      <c r="AC22" s="51"/>
      <c r="AD22" s="219"/>
      <c r="AE22" s="51"/>
      <c r="AF22" s="219"/>
      <c r="AG22" s="51"/>
      <c r="AH22" s="219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</row>
    <row r="23" spans="1:77" s="48" customFormat="1" ht="15">
      <c r="A23" s="287">
        <v>14</v>
      </c>
      <c r="B23" s="318" t="s">
        <v>27</v>
      </c>
      <c r="C23" s="43" t="s">
        <v>27</v>
      </c>
      <c r="D23" s="44"/>
      <c r="E23" s="45"/>
      <c r="F23" s="45"/>
      <c r="G23" s="45"/>
      <c r="H23" s="45"/>
      <c r="I23" s="45"/>
      <c r="J23" s="45"/>
      <c r="K23" s="51"/>
      <c r="L23" s="51"/>
      <c r="M23" s="51"/>
      <c r="N23" s="51"/>
      <c r="O23" s="51"/>
      <c r="P23" s="219"/>
      <c r="Q23" s="219"/>
      <c r="R23" s="51"/>
      <c r="S23" s="51"/>
      <c r="T23" s="219"/>
      <c r="U23" s="51"/>
      <c r="V23" s="219"/>
      <c r="W23" s="51"/>
      <c r="X23" s="219"/>
      <c r="Y23" s="51"/>
      <c r="Z23" s="219"/>
      <c r="AA23" s="51"/>
      <c r="AB23" s="219"/>
      <c r="AC23" s="51"/>
      <c r="AD23" s="219"/>
      <c r="AE23" s="51"/>
      <c r="AF23" s="219"/>
      <c r="AG23" s="51"/>
      <c r="AH23" s="219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</row>
    <row r="24" spans="1:77" s="54" customFormat="1" ht="15">
      <c r="A24" s="287">
        <v>15</v>
      </c>
      <c r="B24" s="336" t="s">
        <v>259</v>
      </c>
      <c r="C24" s="43" t="s">
        <v>28</v>
      </c>
      <c r="D24" s="44"/>
      <c r="E24" s="295">
        <f>K24*$J24/100</f>
        <v>0</v>
      </c>
      <c r="F24" s="295">
        <f>L24*$J24/100</f>
        <v>0</v>
      </c>
      <c r="G24" s="295">
        <f>M24*$J24/100</f>
        <v>0</v>
      </c>
      <c r="H24" s="295">
        <f>N24*$J24/100</f>
        <v>0</v>
      </c>
      <c r="I24" s="295">
        <f>O24*$J24/100</f>
        <v>0</v>
      </c>
      <c r="J24" s="30">
        <f>2192.23126162438*2.37</f>
        <v>5195.5880900497805</v>
      </c>
      <c r="K24" s="51"/>
      <c r="L24" s="51"/>
      <c r="M24" s="51"/>
      <c r="N24" s="219"/>
      <c r="O24" s="265"/>
      <c r="P24" s="266"/>
      <c r="Q24" s="267"/>
      <c r="R24" s="268"/>
      <c r="S24" s="268"/>
      <c r="T24" s="267"/>
      <c r="U24" s="268"/>
      <c r="V24" s="267"/>
      <c r="W24" s="268"/>
      <c r="X24" s="267"/>
      <c r="Y24" s="268"/>
      <c r="Z24" s="267"/>
      <c r="AA24" s="268"/>
      <c r="AB24" s="267"/>
      <c r="AC24" s="268"/>
      <c r="AD24" s="267"/>
      <c r="AE24" s="268"/>
      <c r="AF24" s="267"/>
      <c r="AG24" s="268"/>
      <c r="AH24" s="267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</row>
    <row r="25" spans="1:77" s="48" customFormat="1" ht="15">
      <c r="A25" s="287">
        <v>16</v>
      </c>
      <c r="B25" s="318" t="s">
        <v>29</v>
      </c>
      <c r="C25" s="43" t="s">
        <v>29</v>
      </c>
      <c r="D25" s="44"/>
      <c r="E25" s="56">
        <v>786.0491071428571</v>
      </c>
      <c r="F25" s="56">
        <v>0</v>
      </c>
      <c r="G25" s="56">
        <v>1370</v>
      </c>
      <c r="H25" s="56">
        <v>1990.3466666666666</v>
      </c>
      <c r="I25" s="56">
        <v>1378.1754598631771</v>
      </c>
      <c r="J25" s="56">
        <v>5524.5712336727</v>
      </c>
      <c r="K25" s="51"/>
      <c r="L25" s="51"/>
      <c r="M25" s="51"/>
      <c r="N25" s="219"/>
      <c r="O25" s="265"/>
      <c r="P25" s="219"/>
      <c r="Q25" s="219"/>
      <c r="R25" s="51"/>
      <c r="S25" s="51"/>
      <c r="T25" s="219"/>
      <c r="U25" s="51"/>
      <c r="V25" s="219"/>
      <c r="W25" s="51"/>
      <c r="X25" s="219"/>
      <c r="Y25" s="51"/>
      <c r="Z25" s="219"/>
      <c r="AA25" s="51"/>
      <c r="AB25" s="219"/>
      <c r="AC25" s="51"/>
      <c r="AD25" s="219"/>
      <c r="AE25" s="51"/>
      <c r="AF25" s="219"/>
      <c r="AG25" s="51"/>
      <c r="AH25" s="219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</row>
    <row r="26" spans="1:77" s="48" customFormat="1" ht="15">
      <c r="A26" s="287">
        <v>17</v>
      </c>
      <c r="B26" s="318" t="s">
        <v>30</v>
      </c>
      <c r="C26" s="43" t="s">
        <v>30</v>
      </c>
      <c r="D26" s="44"/>
      <c r="E26" s="57">
        <f>$J26*K26/100</f>
        <v>0</v>
      </c>
      <c r="F26" s="57">
        <f aca="true" t="shared" si="2" ref="F26:I26">$J26*L26/100</f>
        <v>0</v>
      </c>
      <c r="G26" s="57">
        <f t="shared" si="2"/>
        <v>0</v>
      </c>
      <c r="H26" s="57">
        <f t="shared" si="2"/>
        <v>0</v>
      </c>
      <c r="I26" s="57">
        <f t="shared" si="2"/>
        <v>0</v>
      </c>
      <c r="J26" s="58">
        <f>2.37*236.88</f>
        <v>561.4056</v>
      </c>
      <c r="K26" s="269"/>
      <c r="L26" s="269"/>
      <c r="M26" s="269"/>
      <c r="N26" s="269"/>
      <c r="O26" s="269"/>
      <c r="P26" s="219"/>
      <c r="Q26" s="219"/>
      <c r="R26" s="51"/>
      <c r="S26" s="51"/>
      <c r="T26" s="219"/>
      <c r="U26" s="51"/>
      <c r="V26" s="219"/>
      <c r="W26" s="51"/>
      <c r="X26" s="219"/>
      <c r="Y26" s="51"/>
      <c r="Z26" s="219"/>
      <c r="AA26" s="51"/>
      <c r="AB26" s="219"/>
      <c r="AC26" s="51"/>
      <c r="AD26" s="219"/>
      <c r="AE26" s="51"/>
      <c r="AF26" s="219"/>
      <c r="AG26" s="51"/>
      <c r="AH26" s="219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</row>
    <row r="27" spans="1:77" ht="15">
      <c r="A27" s="287">
        <v>18</v>
      </c>
      <c r="B27" s="318" t="s">
        <v>31</v>
      </c>
      <c r="C27" s="33" t="s">
        <v>31</v>
      </c>
      <c r="D27" s="33"/>
      <c r="E27" s="61">
        <f>'[1]M PS'!G16</f>
        <v>494.7836538461538</v>
      </c>
      <c r="F27" s="30"/>
      <c r="G27" s="30">
        <f>'[1]M PS'!M16</f>
        <v>75</v>
      </c>
      <c r="H27" s="30">
        <f>'[1]M PS'!R16</f>
        <v>813.421</v>
      </c>
      <c r="I27" s="30">
        <f>'[1]M PS'!W16</f>
        <v>495</v>
      </c>
      <c r="J27" s="30">
        <f aca="true" t="shared" si="3" ref="J27:J33">SUM(E27:I27)</f>
        <v>1878.2046538461539</v>
      </c>
      <c r="K27" s="41"/>
      <c r="L27" s="41"/>
      <c r="M27" s="41"/>
      <c r="N27" s="41"/>
      <c r="O27" s="41"/>
      <c r="P27" s="41"/>
      <c r="Q27" s="62"/>
      <c r="R27" s="112"/>
      <c r="S27" s="112"/>
      <c r="T27" s="112"/>
      <c r="U27" s="112"/>
      <c r="V27" s="112"/>
      <c r="W27" s="112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</row>
    <row r="28" spans="1:77" ht="15">
      <c r="A28" s="287">
        <v>19</v>
      </c>
      <c r="B28" s="318" t="s">
        <v>32</v>
      </c>
      <c r="C28" s="33" t="s">
        <v>32</v>
      </c>
      <c r="D28" s="33"/>
      <c r="E28" s="61">
        <f>'[1]M SA'!G19</f>
        <v>494.7836538461538</v>
      </c>
      <c r="F28" s="30"/>
      <c r="G28" s="30">
        <f>'[1]M SA'!M19</f>
        <v>50</v>
      </c>
      <c r="H28" s="30">
        <f>'[1]M SA'!R19</f>
        <v>497.371</v>
      </c>
      <c r="I28" s="30">
        <f>'[1]M SA'!W19</f>
        <v>495</v>
      </c>
      <c r="J28" s="30">
        <f t="shared" si="3"/>
        <v>1537.154653846154</v>
      </c>
      <c r="K28" s="41"/>
      <c r="L28" s="41"/>
      <c r="M28" s="41"/>
      <c r="N28" s="41"/>
      <c r="O28" s="41"/>
      <c r="P28" s="41"/>
      <c r="Q28" s="62"/>
      <c r="R28" s="112"/>
      <c r="S28" s="112"/>
      <c r="T28" s="112"/>
      <c r="U28" s="112"/>
      <c r="V28" s="112"/>
      <c r="W28" s="112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</row>
    <row r="29" spans="1:77" ht="15">
      <c r="A29" s="287">
        <v>20</v>
      </c>
      <c r="B29" s="318" t="s">
        <v>35</v>
      </c>
      <c r="C29" s="33" t="s">
        <v>33</v>
      </c>
      <c r="D29" s="33"/>
      <c r="E29" s="61">
        <f>'[1]M AH'!G16</f>
        <v>2850.2764423076924</v>
      </c>
      <c r="F29" s="30">
        <f>'[1]M AH'!K16</f>
        <v>179.3428</v>
      </c>
      <c r="G29" s="30">
        <f>'[1]M AH'!M16</f>
        <v>25</v>
      </c>
      <c r="H29" s="30">
        <f>'[1]M AH'!R16</f>
        <v>490.50300000000004</v>
      </c>
      <c r="I29" s="30">
        <f>'[1]M AH'!W16</f>
        <v>4000</v>
      </c>
      <c r="J29" s="30">
        <f t="shared" si="3"/>
        <v>7545.122242307692</v>
      </c>
      <c r="K29" s="41"/>
      <c r="L29" s="41"/>
      <c r="M29" s="41"/>
      <c r="N29" s="41"/>
      <c r="O29" s="41"/>
      <c r="P29" s="41"/>
      <c r="Q29" s="62"/>
      <c r="R29" s="112"/>
      <c r="S29" s="112"/>
      <c r="T29" s="112"/>
      <c r="U29" s="112"/>
      <c r="V29" s="112"/>
      <c r="W29" s="112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</row>
    <row r="30" spans="1:77" ht="15">
      <c r="A30" s="287">
        <v>21</v>
      </c>
      <c r="B30" s="318" t="s">
        <v>33</v>
      </c>
      <c r="C30" s="33" t="s">
        <v>34</v>
      </c>
      <c r="D30" s="33"/>
      <c r="E30" s="61">
        <f>'[1]M PH'!G19</f>
        <v>1982.0432692307693</v>
      </c>
      <c r="F30" s="30">
        <f>'[1]M PH'!K19</f>
        <v>8799.154</v>
      </c>
      <c r="G30" s="30">
        <f>'[1]M PH'!M19</f>
        <v>195</v>
      </c>
      <c r="H30" s="30">
        <f>'[1]M PH'!R19</f>
        <v>1180.608</v>
      </c>
      <c r="I30" s="30">
        <f>'[1]M PH'!W19</f>
        <v>1095</v>
      </c>
      <c r="J30" s="30">
        <f t="shared" si="3"/>
        <v>13251.80526923077</v>
      </c>
      <c r="K30" s="41"/>
      <c r="L30" s="41"/>
      <c r="M30" s="41"/>
      <c r="N30" s="41"/>
      <c r="O30" s="41"/>
      <c r="P30" s="41"/>
      <c r="Q30" s="62"/>
      <c r="R30" s="112"/>
      <c r="S30" s="112"/>
      <c r="T30" s="112"/>
      <c r="U30" s="112"/>
      <c r="V30" s="112"/>
      <c r="W30" s="112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</row>
    <row r="31" spans="1:77" ht="15">
      <c r="A31" s="287">
        <v>22</v>
      </c>
      <c r="B31" s="318" t="s">
        <v>254</v>
      </c>
      <c r="C31" s="33" t="s">
        <v>35</v>
      </c>
      <c r="D31" s="33"/>
      <c r="E31" s="61">
        <f>'[1]M E'!G18</f>
        <v>7643.317307692308</v>
      </c>
      <c r="F31" s="30">
        <f>'[1]M E'!K18</f>
        <v>8799.154</v>
      </c>
      <c r="G31" s="30">
        <f>'[1]M E'!M18</f>
        <v>200</v>
      </c>
      <c r="H31" s="30">
        <f>'[1]M E'!R18</f>
        <v>2283.9600000000005</v>
      </c>
      <c r="I31" s="30">
        <f>'[1]M E'!W18</f>
        <v>945</v>
      </c>
      <c r="J31" s="30">
        <f t="shared" si="3"/>
        <v>19871.431307692306</v>
      </c>
      <c r="K31" s="41"/>
      <c r="L31" s="41"/>
      <c r="M31" s="41"/>
      <c r="N31" s="41"/>
      <c r="O31" s="41"/>
      <c r="P31" s="41"/>
      <c r="Q31" s="62"/>
      <c r="R31" s="112"/>
      <c r="S31" s="112"/>
      <c r="T31" s="112"/>
      <c r="U31" s="112"/>
      <c r="V31" s="112"/>
      <c r="W31" s="112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</row>
    <row r="32" spans="1:77" ht="15">
      <c r="A32" s="287">
        <v>23</v>
      </c>
      <c r="B32" s="318" t="s">
        <v>37</v>
      </c>
      <c r="C32" s="33" t="s">
        <v>36</v>
      </c>
      <c r="D32" s="33"/>
      <c r="E32" s="61">
        <f>'[1]M PRM'!G18</f>
        <v>281.21794871794873</v>
      </c>
      <c r="F32" s="30"/>
      <c r="G32" s="30">
        <f>'[1]M PRM'!M18</f>
        <v>50</v>
      </c>
      <c r="H32" s="30">
        <f>'[1]M PRM'!R18</f>
        <v>318.871</v>
      </c>
      <c r="I32" s="30">
        <f>'[1]M PRM'!W18</f>
        <v>345</v>
      </c>
      <c r="J32" s="30">
        <f t="shared" si="3"/>
        <v>995.0889487179487</v>
      </c>
      <c r="K32" s="41"/>
      <c r="L32" s="41"/>
      <c r="M32" s="41"/>
      <c r="N32" s="41"/>
      <c r="O32" s="41"/>
      <c r="P32" s="41"/>
      <c r="Q32" s="62"/>
      <c r="R32" s="112"/>
      <c r="S32" s="112"/>
      <c r="T32" s="112"/>
      <c r="U32" s="112"/>
      <c r="V32" s="112"/>
      <c r="W32" s="112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</row>
    <row r="33" spans="1:77" ht="15">
      <c r="A33" s="287">
        <v>24</v>
      </c>
      <c r="B33" s="330" t="s">
        <v>38</v>
      </c>
      <c r="C33" s="33" t="s">
        <v>258</v>
      </c>
      <c r="D33" s="33"/>
      <c r="E33" s="61">
        <f>'[1]M OL'!G22</f>
        <v>951.5384615384615</v>
      </c>
      <c r="F33" s="30">
        <f>'[1]M OL'!K22</f>
        <v>195.95316666666668</v>
      </c>
      <c r="G33" s="30">
        <f>'[1]M OL'!M22</f>
        <v>75</v>
      </c>
      <c r="H33" s="30">
        <f>'[1]M OL'!R22</f>
        <v>318.871</v>
      </c>
      <c r="I33" s="30">
        <f>'[1]M OL'!W22</f>
        <v>3800</v>
      </c>
      <c r="J33" s="30">
        <f t="shared" si="3"/>
        <v>5341.362628205128</v>
      </c>
      <c r="K33" s="41"/>
      <c r="L33" s="41"/>
      <c r="M33" s="41"/>
      <c r="N33" s="41"/>
      <c r="O33" s="41"/>
      <c r="P33" s="41"/>
      <c r="Q33" s="62"/>
      <c r="R33" s="112"/>
      <c r="S33" s="112"/>
      <c r="T33" s="112"/>
      <c r="U33" s="112"/>
      <c r="V33" s="112"/>
      <c r="W33" s="112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</row>
    <row r="34" spans="1:77" s="20" customFormat="1" ht="26.25">
      <c r="A34" s="93">
        <v>25</v>
      </c>
      <c r="B34" s="318" t="s">
        <v>39</v>
      </c>
      <c r="C34" s="93" t="s">
        <v>37</v>
      </c>
      <c r="D34" s="93"/>
      <c r="E34" s="65">
        <f>1383.5509672619*2.37</f>
        <v>3279.0157924107034</v>
      </c>
      <c r="F34" s="299"/>
      <c r="G34" s="299">
        <f>2964*2.37</f>
        <v>7024.68</v>
      </c>
      <c r="H34" s="300">
        <f>22.47*2.37</f>
        <v>53.2539</v>
      </c>
      <c r="I34" s="300">
        <f>931.682357268434*2.37</f>
        <v>2208.0871867261885</v>
      </c>
      <c r="J34" s="300">
        <f>5301.70332453034*2.37</f>
        <v>12565.036879136907</v>
      </c>
      <c r="K34" s="70"/>
      <c r="L34" s="70"/>
      <c r="M34" s="70"/>
      <c r="N34" s="70"/>
      <c r="O34" s="70"/>
      <c r="P34" s="70"/>
      <c r="Q34" s="71"/>
      <c r="R34" s="271"/>
      <c r="S34" s="271"/>
      <c r="T34" s="271"/>
      <c r="U34" s="271"/>
      <c r="V34" s="271"/>
      <c r="W34" s="271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</row>
    <row r="35" spans="1:77" ht="15">
      <c r="A35" s="287"/>
      <c r="B35" s="318" t="s">
        <v>41</v>
      </c>
      <c r="C35" s="287" t="s">
        <v>38</v>
      </c>
      <c r="D35" s="287"/>
      <c r="E35" s="287"/>
      <c r="F35" s="290"/>
      <c r="G35" s="290"/>
      <c r="H35" s="290"/>
      <c r="I35" s="290"/>
      <c r="J35" s="290"/>
      <c r="K35" s="41"/>
      <c r="L35" s="41"/>
      <c r="M35" s="41"/>
      <c r="N35" s="41"/>
      <c r="O35" s="41"/>
      <c r="P35" s="41"/>
      <c r="Q35" s="62"/>
      <c r="R35" s="112"/>
      <c r="S35" s="112"/>
      <c r="T35" s="112"/>
      <c r="U35" s="112"/>
      <c r="V35" s="112"/>
      <c r="W35" s="112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</row>
    <row r="36" spans="1:77" s="20" customFormat="1" ht="15">
      <c r="A36" s="294">
        <v>26</v>
      </c>
      <c r="B36" s="334" t="s">
        <v>255</v>
      </c>
      <c r="C36" s="93" t="s">
        <v>39</v>
      </c>
      <c r="D36" s="93" t="s">
        <v>40</v>
      </c>
      <c r="E36" s="300">
        <f>262.016369047619*2.37</f>
        <v>620.978794642857</v>
      </c>
      <c r="F36" s="300">
        <f>108.818333333333*2.37</f>
        <v>257.8994499999992</v>
      </c>
      <c r="G36" s="300">
        <f>2.37*25</f>
        <v>59.25</v>
      </c>
      <c r="H36" s="300">
        <f>139.86*2.37</f>
        <v>331.4682</v>
      </c>
      <c r="I36" s="300">
        <f>1026.69035820918*2.37</f>
        <v>2433.2561489557565</v>
      </c>
      <c r="J36" s="299">
        <f>1562.38506059013*2.37</f>
        <v>3702.852593598608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</row>
    <row r="37" spans="1:77" s="20" customFormat="1" ht="15">
      <c r="A37" s="294">
        <v>27</v>
      </c>
      <c r="B37" s="334" t="s">
        <v>45</v>
      </c>
      <c r="C37" s="294" t="s">
        <v>41</v>
      </c>
      <c r="D37" s="294" t="s">
        <v>42</v>
      </c>
      <c r="E37" s="301">
        <f>2243.86625744048*2.37</f>
        <v>5317.9630301339375</v>
      </c>
      <c r="F37" s="302">
        <f>708.818333333333*2.37</f>
        <v>1679.8994499999994</v>
      </c>
      <c r="G37" s="302">
        <f>890*2.37</f>
        <v>2109.3</v>
      </c>
      <c r="H37" s="302">
        <f>1353.01*2.37</f>
        <v>3206.6337000000003</v>
      </c>
      <c r="I37" s="302">
        <f>1315.77406101939*2.37</f>
        <v>3118.3845246159544</v>
      </c>
      <c r="J37" s="302">
        <f>6511.4686517932*2.37</f>
        <v>15432.180704749884</v>
      </c>
      <c r="K37" s="70"/>
      <c r="L37" s="70"/>
      <c r="M37" s="70"/>
      <c r="N37" s="70"/>
      <c r="O37" s="70"/>
      <c r="P37" s="70"/>
      <c r="Q37" s="71"/>
      <c r="R37" s="271"/>
      <c r="S37" s="271"/>
      <c r="T37" s="271"/>
      <c r="U37" s="271"/>
      <c r="V37" s="271"/>
      <c r="W37" s="271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</row>
    <row r="38" spans="1:77" s="20" customFormat="1" ht="15">
      <c r="A38" s="294">
        <v>28</v>
      </c>
      <c r="B38" s="334" t="s">
        <v>256</v>
      </c>
      <c r="C38" s="294" t="s">
        <v>43</v>
      </c>
      <c r="D38" s="294" t="s">
        <v>40</v>
      </c>
      <c r="E38" s="303"/>
      <c r="F38" s="304"/>
      <c r="G38" s="304"/>
      <c r="H38" s="304"/>
      <c r="I38" s="304"/>
      <c r="J38" s="305">
        <f>650*2.37</f>
        <v>1540.5</v>
      </c>
      <c r="K38" s="70"/>
      <c r="L38" s="70"/>
      <c r="M38" s="70"/>
      <c r="N38" s="70"/>
      <c r="O38" s="70"/>
      <c r="P38" s="70"/>
      <c r="Q38" s="71"/>
      <c r="R38" s="271"/>
      <c r="S38" s="271"/>
      <c r="T38" s="271"/>
      <c r="U38" s="271"/>
      <c r="V38" s="271"/>
      <c r="W38" s="271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</row>
    <row r="39" spans="1:77" s="20" customFormat="1" ht="15">
      <c r="A39" s="294">
        <v>29</v>
      </c>
      <c r="B39" s="335" t="s">
        <v>49</v>
      </c>
      <c r="C39" s="294" t="s">
        <v>45</v>
      </c>
      <c r="D39" s="294" t="s">
        <v>40</v>
      </c>
      <c r="E39" s="306">
        <f>917.057291666667*2.37</f>
        <v>2173.425781250001</v>
      </c>
      <c r="F39" s="307"/>
      <c r="G39" s="308">
        <f>1555*2.37</f>
        <v>3685.3500000000004</v>
      </c>
      <c r="H39" s="308">
        <f>248.575*2.37</f>
        <v>589.12275</v>
      </c>
      <c r="I39" s="308">
        <f>446.346458415672*2.37</f>
        <v>1057.8411064451427</v>
      </c>
      <c r="J39" s="305">
        <f>SUM(E39:I39)</f>
        <v>7505.739637695144</v>
      </c>
      <c r="K39" s="70"/>
      <c r="L39" s="70"/>
      <c r="M39" s="70"/>
      <c r="N39" s="70"/>
      <c r="O39" s="70"/>
      <c r="P39" s="70"/>
      <c r="Q39" s="71"/>
      <c r="R39" s="271"/>
      <c r="S39" s="271"/>
      <c r="T39" s="271"/>
      <c r="U39" s="271"/>
      <c r="V39" s="271"/>
      <c r="W39" s="271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</row>
    <row r="40" spans="1:77" s="20" customFormat="1" ht="15">
      <c r="A40" s="294">
        <v>30</v>
      </c>
      <c r="B40" s="333" t="s">
        <v>53</v>
      </c>
      <c r="C40" s="294" t="s">
        <v>46</v>
      </c>
      <c r="D40" s="294" t="s">
        <v>40</v>
      </c>
      <c r="E40" s="303"/>
      <c r="F40" s="304"/>
      <c r="G40" s="304"/>
      <c r="H40" s="304"/>
      <c r="I40" s="304"/>
      <c r="J40" s="304">
        <f>540+4000</f>
        <v>4540</v>
      </c>
      <c r="K40" s="70"/>
      <c r="L40" s="70"/>
      <c r="M40" s="70"/>
      <c r="N40" s="70"/>
      <c r="O40" s="70"/>
      <c r="P40" s="70"/>
      <c r="Q40" s="71"/>
      <c r="R40" s="271"/>
      <c r="S40" s="271"/>
      <c r="T40" s="271"/>
      <c r="U40" s="271"/>
      <c r="V40" s="271"/>
      <c r="W40" s="271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</row>
    <row r="41" spans="1:77" ht="15">
      <c r="A41" s="287"/>
      <c r="B41" s="333" t="s">
        <v>52</v>
      </c>
      <c r="C41" s="291"/>
      <c r="D41" s="291"/>
      <c r="E41" s="309"/>
      <c r="F41" s="292"/>
      <c r="G41" s="292"/>
      <c r="H41" s="292"/>
      <c r="I41" s="292"/>
      <c r="J41" s="292"/>
      <c r="K41" s="41"/>
      <c r="L41" s="41"/>
      <c r="M41" s="41"/>
      <c r="N41" s="41"/>
      <c r="O41" s="41"/>
      <c r="P41" s="41"/>
      <c r="Q41" s="62"/>
      <c r="R41" s="112"/>
      <c r="S41" s="112"/>
      <c r="T41" s="112"/>
      <c r="U41" s="112"/>
      <c r="V41" s="112"/>
      <c r="W41" s="112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</row>
    <row r="42" spans="1:77" ht="15">
      <c r="A42" s="310" t="s">
        <v>48</v>
      </c>
      <c r="B42" s="335" t="s">
        <v>49</v>
      </c>
      <c r="C42" s="291" t="s">
        <v>49</v>
      </c>
      <c r="D42" s="291"/>
      <c r="E42" s="309"/>
      <c r="F42" s="292"/>
      <c r="G42" s="292"/>
      <c r="H42" s="292"/>
      <c r="I42" s="292"/>
      <c r="J42" s="292"/>
      <c r="K42" s="41"/>
      <c r="L42" s="41"/>
      <c r="M42" s="41"/>
      <c r="N42" s="41"/>
      <c r="O42" s="41"/>
      <c r="P42" s="41"/>
      <c r="Q42" s="62"/>
      <c r="R42" s="112"/>
      <c r="S42" s="112"/>
      <c r="T42" s="112"/>
      <c r="U42" s="112"/>
      <c r="V42" s="112"/>
      <c r="W42" s="112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</row>
    <row r="43" spans="1:77" s="20" customFormat="1" ht="15">
      <c r="A43" s="294">
        <v>31</v>
      </c>
      <c r="B43" s="333" t="s">
        <v>53</v>
      </c>
      <c r="C43" s="93" t="s">
        <v>50</v>
      </c>
      <c r="D43" s="294"/>
      <c r="E43" s="303">
        <f aca="true" t="shared" si="4" ref="E43:E48">$J43*K43/100</f>
        <v>0</v>
      </c>
      <c r="F43" s="303">
        <f aca="true" t="shared" si="5" ref="F43:I48">$J43*L43/100</f>
        <v>0</v>
      </c>
      <c r="G43" s="303">
        <f t="shared" si="5"/>
        <v>0</v>
      </c>
      <c r="H43" s="303">
        <f t="shared" si="5"/>
        <v>0</v>
      </c>
      <c r="I43" s="303">
        <f t="shared" si="5"/>
        <v>0</v>
      </c>
      <c r="J43" s="94">
        <f>2.37*422.588333333333</f>
        <v>1001.5343499999993</v>
      </c>
      <c r="K43" s="272"/>
      <c r="L43" s="272"/>
      <c r="M43" s="272"/>
      <c r="N43" s="272"/>
      <c r="O43" s="272"/>
      <c r="P43" s="70"/>
      <c r="Q43" s="71"/>
      <c r="R43" s="271"/>
      <c r="S43" s="271"/>
      <c r="T43" s="271"/>
      <c r="U43" s="271"/>
      <c r="V43" s="271"/>
      <c r="W43" s="271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</row>
    <row r="44" spans="1:77" s="20" customFormat="1" ht="15">
      <c r="A44" s="294">
        <v>32</v>
      </c>
      <c r="B44" s="333" t="s">
        <v>52</v>
      </c>
      <c r="C44" s="93" t="s">
        <v>51</v>
      </c>
      <c r="D44" s="294"/>
      <c r="E44" s="303">
        <f t="shared" si="4"/>
        <v>0</v>
      </c>
      <c r="F44" s="303">
        <f t="shared" si="5"/>
        <v>0</v>
      </c>
      <c r="G44" s="303">
        <f t="shared" si="5"/>
        <v>0</v>
      </c>
      <c r="H44" s="303">
        <f t="shared" si="5"/>
        <v>0</v>
      </c>
      <c r="I44" s="303">
        <f t="shared" si="5"/>
        <v>0</v>
      </c>
      <c r="J44" s="94">
        <f>86.8933333333333*2.37</f>
        <v>205.93719999999993</v>
      </c>
      <c r="K44" s="272"/>
      <c r="L44" s="272"/>
      <c r="M44" s="272"/>
      <c r="N44" s="272"/>
      <c r="O44" s="272"/>
      <c r="P44" s="70"/>
      <c r="Q44" s="71"/>
      <c r="R44" s="271"/>
      <c r="S44" s="271"/>
      <c r="T44" s="271"/>
      <c r="U44" s="271"/>
      <c r="V44" s="271"/>
      <c r="W44" s="271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</row>
    <row r="45" spans="1:77" s="20" customFormat="1" ht="15">
      <c r="A45" s="294">
        <v>33</v>
      </c>
      <c r="B45" s="333" t="s">
        <v>50</v>
      </c>
      <c r="C45" s="93" t="s">
        <v>52</v>
      </c>
      <c r="D45" s="294"/>
      <c r="E45" s="303">
        <f t="shared" si="4"/>
        <v>0</v>
      </c>
      <c r="F45" s="303">
        <f t="shared" si="5"/>
        <v>0</v>
      </c>
      <c r="G45" s="303">
        <f t="shared" si="5"/>
        <v>0</v>
      </c>
      <c r="H45" s="303">
        <f t="shared" si="5"/>
        <v>0</v>
      </c>
      <c r="I45" s="303">
        <f t="shared" si="5"/>
        <v>0</v>
      </c>
      <c r="J45" s="304">
        <f>'[2]Core Pack OP'!$L$17*2.37</f>
        <v>189.5052</v>
      </c>
      <c r="K45" s="272"/>
      <c r="L45" s="272"/>
      <c r="M45" s="272"/>
      <c r="N45" s="272"/>
      <c r="O45" s="272"/>
      <c r="P45" s="70"/>
      <c r="Q45" s="71"/>
      <c r="R45" s="271"/>
      <c r="S45" s="271"/>
      <c r="T45" s="271"/>
      <c r="U45" s="271"/>
      <c r="V45" s="271"/>
      <c r="W45" s="271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</row>
    <row r="46" spans="1:77" s="20" customFormat="1" ht="15">
      <c r="A46" s="294">
        <v>34</v>
      </c>
      <c r="B46" s="333" t="s">
        <v>257</v>
      </c>
      <c r="C46" s="93" t="s">
        <v>53</v>
      </c>
      <c r="D46" s="294"/>
      <c r="E46" s="303">
        <f t="shared" si="4"/>
        <v>0</v>
      </c>
      <c r="F46" s="303">
        <f t="shared" si="5"/>
        <v>0</v>
      </c>
      <c r="G46" s="303">
        <f t="shared" si="5"/>
        <v>0</v>
      </c>
      <c r="H46" s="303">
        <f t="shared" si="5"/>
        <v>0</v>
      </c>
      <c r="I46" s="303">
        <f t="shared" si="5"/>
        <v>0</v>
      </c>
      <c r="J46" s="304">
        <f>'[2]Core Pack OP'!$L$17*2.37</f>
        <v>189.5052</v>
      </c>
      <c r="K46" s="272"/>
      <c r="L46" s="272"/>
      <c r="M46" s="272"/>
      <c r="N46" s="272"/>
      <c r="O46" s="272"/>
      <c r="P46" s="70"/>
      <c r="Q46" s="71"/>
      <c r="R46" s="271"/>
      <c r="S46" s="271"/>
      <c r="T46" s="271"/>
      <c r="U46" s="271"/>
      <c r="V46" s="271"/>
      <c r="W46" s="271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</row>
    <row r="47" spans="1:77" s="20" customFormat="1" ht="15">
      <c r="A47" s="294">
        <v>35</v>
      </c>
      <c r="B47" s="342" t="s">
        <v>295</v>
      </c>
      <c r="C47" s="93" t="s">
        <v>54</v>
      </c>
      <c r="D47" s="294"/>
      <c r="E47" s="303">
        <f t="shared" si="4"/>
        <v>0</v>
      </c>
      <c r="F47" s="303">
        <f t="shared" si="5"/>
        <v>0</v>
      </c>
      <c r="G47" s="303">
        <f t="shared" si="5"/>
        <v>0</v>
      </c>
      <c r="H47" s="303">
        <f t="shared" si="5"/>
        <v>0</v>
      </c>
      <c r="I47" s="303">
        <f t="shared" si="5"/>
        <v>0</v>
      </c>
      <c r="J47" s="94">
        <f>2.37*886.986566666667</f>
        <v>2102.158163000001</v>
      </c>
      <c r="K47" s="272"/>
      <c r="L47" s="272"/>
      <c r="M47" s="272"/>
      <c r="N47" s="272"/>
      <c r="O47" s="272"/>
      <c r="P47" s="70"/>
      <c r="Q47" s="71"/>
      <c r="R47" s="271"/>
      <c r="S47" s="271"/>
      <c r="T47" s="271"/>
      <c r="U47" s="271"/>
      <c r="V47" s="271"/>
      <c r="W47" s="271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</row>
    <row r="48" spans="1:77" s="20" customFormat="1" ht="15">
      <c r="A48" s="294">
        <v>36</v>
      </c>
      <c r="B48" s="342" t="s">
        <v>55</v>
      </c>
      <c r="C48" s="93" t="s">
        <v>55</v>
      </c>
      <c r="D48" s="294"/>
      <c r="E48" s="303">
        <f t="shared" si="4"/>
        <v>0</v>
      </c>
      <c r="F48" s="303">
        <f t="shared" si="5"/>
        <v>0</v>
      </c>
      <c r="G48" s="303">
        <f t="shared" si="5"/>
        <v>0</v>
      </c>
      <c r="H48" s="303">
        <f t="shared" si="5"/>
        <v>0</v>
      </c>
      <c r="I48" s="303">
        <f t="shared" si="5"/>
        <v>0</v>
      </c>
      <c r="J48" s="304">
        <f>'[2]Core Pack OP'!$L$15*2.37</f>
        <v>474.6478</v>
      </c>
      <c r="K48" s="272"/>
      <c r="L48" s="272"/>
      <c r="M48" s="272"/>
      <c r="N48" s="272"/>
      <c r="O48" s="272"/>
      <c r="P48" s="70"/>
      <c r="Q48" s="71"/>
      <c r="R48" s="271"/>
      <c r="S48" s="271"/>
      <c r="T48" s="271"/>
      <c r="U48" s="271"/>
      <c r="V48" s="271"/>
      <c r="W48" s="271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</row>
    <row r="49" spans="1:77" ht="15">
      <c r="A49" s="291" t="s">
        <v>56</v>
      </c>
      <c r="B49" s="291"/>
      <c r="C49" s="311" t="s">
        <v>57</v>
      </c>
      <c r="D49" s="287"/>
      <c r="E49" s="312"/>
      <c r="F49" s="290"/>
      <c r="G49" s="290"/>
      <c r="H49" s="290"/>
      <c r="I49" s="290"/>
      <c r="J49" s="290"/>
      <c r="K49" s="41"/>
      <c r="L49" s="41"/>
      <c r="M49" s="41"/>
      <c r="N49" s="41"/>
      <c r="O49" s="41"/>
      <c r="P49" s="41"/>
      <c r="Q49" s="62"/>
      <c r="R49" s="112"/>
      <c r="S49" s="112"/>
      <c r="T49" s="112"/>
      <c r="U49" s="112"/>
      <c r="V49" s="112"/>
      <c r="W49" s="112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</row>
    <row r="50" spans="1:77" ht="15">
      <c r="A50" s="291" t="s">
        <v>58</v>
      </c>
      <c r="B50" s="330" t="s">
        <v>59</v>
      </c>
      <c r="C50" s="291" t="s">
        <v>59</v>
      </c>
      <c r="D50" s="291"/>
      <c r="E50" s="309"/>
      <c r="F50" s="292"/>
      <c r="G50" s="292"/>
      <c r="H50" s="292"/>
      <c r="I50" s="292"/>
      <c r="J50" s="292"/>
      <c r="K50" s="41"/>
      <c r="L50" s="41"/>
      <c r="M50" s="41"/>
      <c r="N50" s="41"/>
      <c r="O50" s="41"/>
      <c r="P50" s="41"/>
      <c r="Q50" s="62"/>
      <c r="R50" s="112"/>
      <c r="S50" s="112"/>
      <c r="T50" s="112"/>
      <c r="U50" s="112"/>
      <c r="V50" s="112"/>
      <c r="W50" s="112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</row>
    <row r="51" spans="1:77" ht="15">
      <c r="A51" s="287">
        <v>37</v>
      </c>
      <c r="B51" s="333" t="s">
        <v>60</v>
      </c>
      <c r="C51" s="33" t="s">
        <v>60</v>
      </c>
      <c r="D51" s="33"/>
      <c r="E51" s="61">
        <f>'[1]L P'!G15</f>
        <v>84.69551282051282</v>
      </c>
      <c r="F51" s="30"/>
      <c r="G51" s="30"/>
      <c r="H51" s="30">
        <f>'[1]L P'!R15</f>
        <v>8992.32</v>
      </c>
      <c r="I51" s="30">
        <f>'[1]L P'!W15</f>
        <v>270</v>
      </c>
      <c r="J51" s="30">
        <f>SUM(E51:I51)</f>
        <v>9347.015512820513</v>
      </c>
      <c r="K51" s="41"/>
      <c r="L51" s="41"/>
      <c r="M51" s="41"/>
      <c r="N51" s="41"/>
      <c r="O51" s="41"/>
      <c r="P51" s="41"/>
      <c r="Q51" s="62"/>
      <c r="R51" s="112"/>
      <c r="S51" s="112"/>
      <c r="T51" s="112"/>
      <c r="U51" s="112"/>
      <c r="V51" s="112"/>
      <c r="W51" s="112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</row>
    <row r="52" spans="1:77" ht="15">
      <c r="A52" s="287">
        <v>38</v>
      </c>
      <c r="B52" s="333" t="s">
        <v>61</v>
      </c>
      <c r="C52" s="33" t="s">
        <v>61</v>
      </c>
      <c r="D52" s="33"/>
      <c r="E52" s="61">
        <f>'[1]L M'!G15</f>
        <v>148.3894230769231</v>
      </c>
      <c r="F52" s="30"/>
      <c r="G52" s="30"/>
      <c r="H52" s="30">
        <f>'[1]L M'!R15</f>
        <v>10761.204</v>
      </c>
      <c r="I52" s="30">
        <f>'[1]L M'!W15</f>
        <v>360</v>
      </c>
      <c r="J52" s="30">
        <f>SUM(E52:I52)</f>
        <v>11269.593423076924</v>
      </c>
      <c r="K52" s="41"/>
      <c r="L52" s="41"/>
      <c r="M52" s="41"/>
      <c r="N52" s="41"/>
      <c r="O52" s="41"/>
      <c r="P52" s="41"/>
      <c r="Q52" s="62"/>
      <c r="R52" s="112"/>
      <c r="S52" s="112"/>
      <c r="T52" s="112"/>
      <c r="U52" s="112"/>
      <c r="V52" s="112"/>
      <c r="W52" s="112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</row>
    <row r="53" spans="1:77" ht="15">
      <c r="A53" s="287"/>
      <c r="B53" s="337" t="s">
        <v>261</v>
      </c>
      <c r="C53" s="33"/>
      <c r="D53" s="33"/>
      <c r="E53" s="61"/>
      <c r="F53" s="30"/>
      <c r="G53" s="30"/>
      <c r="H53" s="30"/>
      <c r="I53" s="30"/>
      <c r="J53" s="30"/>
      <c r="K53" s="41"/>
      <c r="L53" s="41"/>
      <c r="M53" s="41"/>
      <c r="N53" s="41"/>
      <c r="O53" s="41"/>
      <c r="P53" s="41"/>
      <c r="Q53" s="62"/>
      <c r="R53" s="112"/>
      <c r="S53" s="112"/>
      <c r="T53" s="112"/>
      <c r="U53" s="112"/>
      <c r="V53" s="112"/>
      <c r="W53" s="112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</row>
    <row r="54" spans="1:77" ht="15">
      <c r="A54" s="287"/>
      <c r="B54" s="337" t="s">
        <v>262</v>
      </c>
      <c r="C54" s="287"/>
      <c r="D54" s="287"/>
      <c r="E54" s="312"/>
      <c r="F54" s="290"/>
      <c r="G54" s="290"/>
      <c r="H54" s="290"/>
      <c r="I54" s="290"/>
      <c r="J54" s="290"/>
      <c r="K54" s="41"/>
      <c r="L54" s="41"/>
      <c r="M54" s="41"/>
      <c r="N54" s="41"/>
      <c r="O54" s="41"/>
      <c r="P54" s="41"/>
      <c r="Q54" s="62"/>
      <c r="R54" s="112"/>
      <c r="S54" s="112"/>
      <c r="T54" s="112"/>
      <c r="U54" s="112"/>
      <c r="V54" s="112"/>
      <c r="W54" s="112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</row>
    <row r="55" spans="1:77" ht="15">
      <c r="A55" s="291" t="s">
        <v>62</v>
      </c>
      <c r="B55" s="330" t="s">
        <v>260</v>
      </c>
      <c r="C55" s="291" t="s">
        <v>63</v>
      </c>
      <c r="D55" s="291"/>
      <c r="E55" s="309"/>
      <c r="F55" s="292"/>
      <c r="G55" s="292"/>
      <c r="H55" s="292"/>
      <c r="I55" s="292"/>
      <c r="J55" s="292"/>
      <c r="K55" s="41"/>
      <c r="L55" s="41"/>
      <c r="M55" s="41"/>
      <c r="N55" s="41"/>
      <c r="O55" s="41"/>
      <c r="P55" s="41"/>
      <c r="Q55" s="62"/>
      <c r="R55" s="112"/>
      <c r="S55" s="112"/>
      <c r="T55" s="112"/>
      <c r="U55" s="112"/>
      <c r="V55" s="112"/>
      <c r="W55" s="112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</row>
    <row r="56" spans="1:77" ht="15">
      <c r="A56" s="287">
        <v>39</v>
      </c>
      <c r="B56" s="318" t="s">
        <v>64</v>
      </c>
      <c r="C56" s="33" t="s">
        <v>64</v>
      </c>
      <c r="D56" s="33"/>
      <c r="E56" s="61">
        <f>'[1]T NSP'!G15</f>
        <v>326.6185897435898</v>
      </c>
      <c r="F56" s="30"/>
      <c r="G56" s="30">
        <f>'[1]T NSP'!M15</f>
        <v>50</v>
      </c>
      <c r="H56" s="30">
        <f>'[1]T NSP'!R15</f>
        <v>28803.816000000003</v>
      </c>
      <c r="I56" s="30">
        <f>'[1]T NSP'!W15</f>
        <v>360</v>
      </c>
      <c r="J56" s="30">
        <f>SUM(E56:I56)</f>
        <v>29540.434589743592</v>
      </c>
      <c r="K56" s="41"/>
      <c r="L56" s="41"/>
      <c r="M56" s="41"/>
      <c r="N56" s="41"/>
      <c r="O56" s="41"/>
      <c r="P56" s="41"/>
      <c r="Q56" s="62"/>
      <c r="R56" s="112"/>
      <c r="S56" s="112"/>
      <c r="T56" s="112"/>
      <c r="U56" s="112"/>
      <c r="V56" s="112"/>
      <c r="W56" s="112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</row>
    <row r="57" spans="1:77" ht="15">
      <c r="A57" s="287">
        <v>40</v>
      </c>
      <c r="B57" s="318" t="s">
        <v>65</v>
      </c>
      <c r="C57" s="33" t="s">
        <v>65</v>
      </c>
      <c r="D57" s="33"/>
      <c r="E57" s="61">
        <f>'[1]T NSN'!G15</f>
        <v>326.6185897435898</v>
      </c>
      <c r="F57" s="30"/>
      <c r="G57" s="30"/>
      <c r="H57" s="30">
        <f>'[1]T NSN'!R15</f>
        <v>23332.2</v>
      </c>
      <c r="I57" s="30">
        <f>'[1]T NSN'!W15</f>
        <v>360</v>
      </c>
      <c r="J57" s="30">
        <f>SUM(E57:I57)</f>
        <v>24018.81858974359</v>
      </c>
      <c r="K57" s="41"/>
      <c r="L57" s="41"/>
      <c r="M57" s="41"/>
      <c r="N57" s="41"/>
      <c r="O57" s="41"/>
      <c r="P57" s="41"/>
      <c r="Q57" s="62"/>
      <c r="R57" s="112"/>
      <c r="S57" s="112"/>
      <c r="T57" s="112"/>
      <c r="U57" s="112"/>
      <c r="V57" s="112"/>
      <c r="W57" s="112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</row>
    <row r="58" spans="1:77" ht="15">
      <c r="A58" s="287">
        <v>41</v>
      </c>
      <c r="B58" s="318" t="s">
        <v>66</v>
      </c>
      <c r="C58" s="33" t="s">
        <v>66</v>
      </c>
      <c r="D58" s="33"/>
      <c r="E58" s="61">
        <f>'[1]T TD'!G15</f>
        <v>404.88782051282055</v>
      </c>
      <c r="F58" s="30"/>
      <c r="G58" s="30"/>
      <c r="H58" s="30">
        <f>'[1]T TD'!R15</f>
        <v>52537.664000000004</v>
      </c>
      <c r="I58" s="30">
        <f>'[1]T TD'!W15</f>
        <v>540</v>
      </c>
      <c r="J58" s="30">
        <f>SUM(E58:I58)</f>
        <v>53482.551820512825</v>
      </c>
      <c r="K58" s="41"/>
      <c r="L58" s="41"/>
      <c r="M58" s="41"/>
      <c r="N58" s="41"/>
      <c r="O58" s="41"/>
      <c r="P58" s="41"/>
      <c r="Q58" s="62"/>
      <c r="R58" s="112"/>
      <c r="S58" s="112"/>
      <c r="T58" s="112"/>
      <c r="U58" s="112"/>
      <c r="V58" s="112"/>
      <c r="W58" s="112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</row>
    <row r="59" spans="1:77" ht="15">
      <c r="A59" s="287">
        <v>42</v>
      </c>
      <c r="B59" s="318" t="s">
        <v>67</v>
      </c>
      <c r="C59" s="33" t="s">
        <v>67</v>
      </c>
      <c r="D59" s="33"/>
      <c r="E59" s="61">
        <f>'[1]T E'!G15</f>
        <v>326.6185897435898</v>
      </c>
      <c r="F59" s="30"/>
      <c r="G59" s="30"/>
      <c r="H59" s="30">
        <f>'[1]T E'!R15</f>
        <v>23332.2</v>
      </c>
      <c r="I59" s="30">
        <f>'[1]T E'!W15</f>
        <v>360</v>
      </c>
      <c r="J59" s="30">
        <f>SUM(E59:I59)</f>
        <v>24018.81858974359</v>
      </c>
      <c r="K59" s="41"/>
      <c r="L59" s="41"/>
      <c r="M59" s="41"/>
      <c r="N59" s="41"/>
      <c r="O59" s="41"/>
      <c r="P59" s="41"/>
      <c r="Q59" s="62"/>
      <c r="R59" s="112"/>
      <c r="S59" s="112"/>
      <c r="T59" s="112"/>
      <c r="U59" s="112"/>
      <c r="V59" s="112"/>
      <c r="W59" s="112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</row>
    <row r="60" spans="1:77" s="245" customFormat="1" ht="15">
      <c r="A60" s="313">
        <v>43</v>
      </c>
      <c r="B60" s="318" t="s">
        <v>68</v>
      </c>
      <c r="C60" s="249" t="s">
        <v>68</v>
      </c>
      <c r="D60" s="249"/>
      <c r="E60" s="314"/>
      <c r="F60" s="315"/>
      <c r="G60" s="315"/>
      <c r="H60" s="315"/>
      <c r="I60" s="315"/>
      <c r="J60" s="315"/>
      <c r="K60" s="246"/>
      <c r="L60" s="246"/>
      <c r="M60" s="246"/>
      <c r="N60" s="246"/>
      <c r="O60" s="246"/>
      <c r="P60" s="246"/>
      <c r="Q60" s="247"/>
      <c r="R60" s="274"/>
      <c r="S60" s="274"/>
      <c r="T60" s="274"/>
      <c r="U60" s="274"/>
      <c r="V60" s="274"/>
      <c r="W60" s="274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273"/>
    </row>
    <row r="61" spans="1:77" s="245" customFormat="1" ht="26.25">
      <c r="A61" s="313">
        <v>44</v>
      </c>
      <c r="B61" s="318" t="s">
        <v>69</v>
      </c>
      <c r="C61" s="249" t="s">
        <v>69</v>
      </c>
      <c r="D61" s="313"/>
      <c r="E61" s="316"/>
      <c r="F61" s="317"/>
      <c r="G61" s="317"/>
      <c r="H61" s="317"/>
      <c r="I61" s="317"/>
      <c r="J61" s="317"/>
      <c r="K61" s="246"/>
      <c r="L61" s="246"/>
      <c r="M61" s="246"/>
      <c r="N61" s="246"/>
      <c r="O61" s="246"/>
      <c r="P61" s="246"/>
      <c r="Q61" s="247"/>
      <c r="R61" s="274"/>
      <c r="S61" s="274"/>
      <c r="T61" s="274"/>
      <c r="U61" s="274"/>
      <c r="V61" s="274"/>
      <c r="W61" s="274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73"/>
      <c r="BK61" s="273"/>
      <c r="BL61" s="273"/>
      <c r="BM61" s="273"/>
      <c r="BN61" s="273"/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3"/>
    </row>
    <row r="62" spans="1:77" ht="15">
      <c r="A62" s="287"/>
      <c r="B62" s="287"/>
      <c r="C62" s="318"/>
      <c r="D62" s="287"/>
      <c r="E62" s="312"/>
      <c r="F62" s="290"/>
      <c r="G62" s="290"/>
      <c r="H62" s="290"/>
      <c r="I62" s="290"/>
      <c r="J62" s="290"/>
      <c r="K62" s="41"/>
      <c r="L62" s="41"/>
      <c r="M62" s="41"/>
      <c r="N62" s="41"/>
      <c r="O62" s="41"/>
      <c r="P62" s="41"/>
      <c r="Q62" s="62"/>
      <c r="R62" s="112"/>
      <c r="S62" s="112"/>
      <c r="T62" s="112"/>
      <c r="U62" s="112"/>
      <c r="V62" s="112"/>
      <c r="W62" s="112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</row>
    <row r="63" spans="1:77" ht="15">
      <c r="A63" s="291" t="s">
        <v>70</v>
      </c>
      <c r="B63" s="330" t="s">
        <v>263</v>
      </c>
      <c r="C63" s="291" t="s">
        <v>71</v>
      </c>
      <c r="D63" s="291"/>
      <c r="E63" s="309"/>
      <c r="F63" s="292"/>
      <c r="G63" s="292"/>
      <c r="H63" s="292"/>
      <c r="I63" s="292"/>
      <c r="J63" s="292"/>
      <c r="K63" s="41"/>
      <c r="L63" s="41"/>
      <c r="M63" s="41"/>
      <c r="N63" s="41"/>
      <c r="O63" s="41"/>
      <c r="P63" s="41"/>
      <c r="Q63" s="62"/>
      <c r="R63" s="112"/>
      <c r="S63" s="112"/>
      <c r="T63" s="112"/>
      <c r="U63" s="112"/>
      <c r="V63" s="112"/>
      <c r="W63" s="112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</row>
    <row r="64" spans="1:77" ht="15">
      <c r="A64" s="287">
        <v>45</v>
      </c>
      <c r="B64" s="318" t="s">
        <v>264</v>
      </c>
      <c r="C64" s="33" t="s">
        <v>72</v>
      </c>
      <c r="D64" s="33"/>
      <c r="E64" s="61">
        <f>'[1]VBD M'!G14</f>
        <v>25.82932692307692</v>
      </c>
      <c r="F64" s="30"/>
      <c r="G64" s="30">
        <f>'[1]VBD M'!M14</f>
        <v>20</v>
      </c>
      <c r="H64" s="30">
        <f>'[1]VBD M'!R14</f>
        <v>8.84</v>
      </c>
      <c r="I64" s="30">
        <f>'[1]VBD M'!W14</f>
        <v>135</v>
      </c>
      <c r="J64" s="30">
        <f>SUM(E64:I64)</f>
        <v>189.66932692307694</v>
      </c>
      <c r="K64" s="41"/>
      <c r="L64" s="41"/>
      <c r="M64" s="41"/>
      <c r="N64" s="41"/>
      <c r="O64" s="41"/>
      <c r="P64" s="41"/>
      <c r="Q64" s="62"/>
      <c r="R64" s="112"/>
      <c r="S64" s="112"/>
      <c r="T64" s="112"/>
      <c r="U64" s="112"/>
      <c r="V64" s="112"/>
      <c r="W64" s="112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</row>
    <row r="65" spans="1:77" ht="15">
      <c r="A65" s="287">
        <v>46</v>
      </c>
      <c r="B65" s="318" t="s">
        <v>265</v>
      </c>
      <c r="C65" s="33" t="s">
        <v>73</v>
      </c>
      <c r="D65" s="33"/>
      <c r="E65" s="61">
        <f>'[1]VBD M'!G22</f>
        <v>401.9230769230769</v>
      </c>
      <c r="F65" s="30"/>
      <c r="G65" s="30">
        <f>'[1]VBD M'!M22</f>
        <v>30</v>
      </c>
      <c r="H65" s="30">
        <f>'[1]VBD M'!R22</f>
        <v>316.75</v>
      </c>
      <c r="I65" s="30">
        <f>'[1]VBD M'!W22</f>
        <v>495</v>
      </c>
      <c r="J65" s="30">
        <f>SUM(E65:I65)</f>
        <v>1243.673076923077</v>
      </c>
      <c r="K65" s="41"/>
      <c r="L65" s="41"/>
      <c r="M65" s="41"/>
      <c r="N65" s="41"/>
      <c r="O65" s="41"/>
      <c r="P65" s="41"/>
      <c r="Q65" s="62"/>
      <c r="R65" s="112"/>
      <c r="S65" s="112"/>
      <c r="T65" s="112"/>
      <c r="U65" s="112"/>
      <c r="V65" s="112"/>
      <c r="W65" s="112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</row>
    <row r="66" spans="1:77" ht="15">
      <c r="A66" s="287">
        <v>47</v>
      </c>
      <c r="B66" s="287"/>
      <c r="C66" s="33" t="s">
        <v>74</v>
      </c>
      <c r="D66" s="33"/>
      <c r="E66" s="61">
        <f>'[1]VBD MV'!G14</f>
        <v>25.82932692307692</v>
      </c>
      <c r="F66" s="30"/>
      <c r="G66" s="30">
        <f>'[1]VBD MV'!M14</f>
        <v>20</v>
      </c>
      <c r="H66" s="30">
        <f>'[1]VBD MV'!R14</f>
        <v>7.4</v>
      </c>
      <c r="I66" s="30">
        <f>'[1]VBD MV'!W14</f>
        <v>135</v>
      </c>
      <c r="J66" s="30">
        <f>SUM(E66:I66)</f>
        <v>188.2293269230769</v>
      </c>
      <c r="K66" s="41"/>
      <c r="L66" s="41"/>
      <c r="M66" s="41"/>
      <c r="N66" s="41"/>
      <c r="O66" s="41"/>
      <c r="P66" s="41"/>
      <c r="Q66" s="62"/>
      <c r="R66" s="112"/>
      <c r="S66" s="112"/>
      <c r="T66" s="112"/>
      <c r="U66" s="112"/>
      <c r="V66" s="112"/>
      <c r="W66" s="112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</row>
    <row r="67" spans="1:77" ht="15">
      <c r="A67" s="287">
        <v>48</v>
      </c>
      <c r="B67" s="287"/>
      <c r="C67" s="33" t="s">
        <v>75</v>
      </c>
      <c r="D67" s="33"/>
      <c r="E67" s="61"/>
      <c r="F67" s="30"/>
      <c r="G67" s="30"/>
      <c r="H67" s="30"/>
      <c r="I67" s="30"/>
      <c r="J67" s="30"/>
      <c r="K67" s="41"/>
      <c r="L67" s="41"/>
      <c r="M67" s="41"/>
      <c r="N67" s="41"/>
      <c r="O67" s="41"/>
      <c r="P67" s="41"/>
      <c r="Q67" s="62"/>
      <c r="R67" s="112"/>
      <c r="S67" s="112"/>
      <c r="T67" s="112"/>
      <c r="U67" s="112"/>
      <c r="V67" s="112"/>
      <c r="W67" s="112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</row>
    <row r="68" spans="1:77" ht="15">
      <c r="A68" s="287">
        <v>49</v>
      </c>
      <c r="B68" s="164" t="s">
        <v>266</v>
      </c>
      <c r="C68" s="33" t="s">
        <v>76</v>
      </c>
      <c r="D68" s="33"/>
      <c r="E68" s="61">
        <f>'[1]VBD D'!G13</f>
        <v>21.001602564102562</v>
      </c>
      <c r="F68" s="30"/>
      <c r="G68" s="30">
        <f>'[1]VBD D'!M13</f>
        <v>250</v>
      </c>
      <c r="H68" s="30">
        <f>'[1]VBD D'!R13</f>
        <v>4.986</v>
      </c>
      <c r="I68" s="30">
        <f>'[1]VBD D'!W13</f>
        <v>150</v>
      </c>
      <c r="J68" s="30">
        <f>SUM(E68:I68)</f>
        <v>425.98760256410253</v>
      </c>
      <c r="K68" s="41"/>
      <c r="L68" s="41"/>
      <c r="M68" s="41"/>
      <c r="N68" s="41"/>
      <c r="O68" s="41"/>
      <c r="P68" s="41"/>
      <c r="Q68" s="62"/>
      <c r="R68" s="112"/>
      <c r="S68" s="112"/>
      <c r="T68" s="112"/>
      <c r="U68" s="112"/>
      <c r="V68" s="112"/>
      <c r="W68" s="112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</row>
    <row r="69" spans="1:77" ht="15">
      <c r="A69" s="287">
        <v>50</v>
      </c>
      <c r="B69" s="331" t="s">
        <v>267</v>
      </c>
      <c r="C69" s="33" t="s">
        <v>77</v>
      </c>
      <c r="D69" s="33"/>
      <c r="E69" s="61">
        <f>'[1]VBD D'!G21</f>
        <v>401.9230769230769</v>
      </c>
      <c r="F69" s="30"/>
      <c r="G69" s="30">
        <f>'[1]VBD D'!M21</f>
        <v>250</v>
      </c>
      <c r="H69" s="30">
        <f>'[1]VBD D'!R21</f>
        <v>75.96600000000001</v>
      </c>
      <c r="I69" s="30">
        <f>'[1]VBD D'!W21</f>
        <v>1800</v>
      </c>
      <c r="J69" s="30">
        <f>SUM(E69:I69)</f>
        <v>2527.889076923077</v>
      </c>
      <c r="K69" s="41"/>
      <c r="L69" s="41"/>
      <c r="M69" s="41"/>
      <c r="N69" s="41"/>
      <c r="O69" s="41"/>
      <c r="P69" s="41"/>
      <c r="Q69" s="62"/>
      <c r="R69" s="112"/>
      <c r="S69" s="112"/>
      <c r="T69" s="112"/>
      <c r="U69" s="112"/>
      <c r="V69" s="112"/>
      <c r="W69" s="112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</row>
    <row r="70" spans="1:77" ht="15">
      <c r="A70" s="287">
        <v>51</v>
      </c>
      <c r="B70" s="164" t="s">
        <v>78</v>
      </c>
      <c r="C70" s="33" t="s">
        <v>78</v>
      </c>
      <c r="D70" s="33"/>
      <c r="E70" s="61">
        <f>'[1]VBD KA'!G14</f>
        <v>420.03205128205127</v>
      </c>
      <c r="F70" s="30"/>
      <c r="G70" s="61">
        <f>'[1]VBD KA'!M14</f>
        <v>250</v>
      </c>
      <c r="H70" s="61">
        <f>'[1]VBD KA'!R14</f>
        <v>0</v>
      </c>
      <c r="I70" s="30">
        <f>'[1]VBD KA'!W14</f>
        <v>900</v>
      </c>
      <c r="J70" s="30">
        <f>SUM(E70:I70)</f>
        <v>1570.0320512820513</v>
      </c>
      <c r="K70" s="41"/>
      <c r="L70" s="41"/>
      <c r="M70" s="41"/>
      <c r="N70" s="41"/>
      <c r="O70" s="41"/>
      <c r="P70" s="41"/>
      <c r="Q70" s="62"/>
      <c r="R70" s="112"/>
      <c r="S70" s="112"/>
      <c r="T70" s="112"/>
      <c r="U70" s="112"/>
      <c r="V70" s="112"/>
      <c r="W70" s="112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</row>
    <row r="71" spans="1:77" ht="15">
      <c r="A71" s="287">
        <v>52</v>
      </c>
      <c r="B71" s="164" t="s">
        <v>79</v>
      </c>
      <c r="C71" s="33" t="s">
        <v>79</v>
      </c>
      <c r="D71" s="33"/>
      <c r="E71" s="61">
        <f>'[1]VBD JE'!G15</f>
        <v>63.00480769230769</v>
      </c>
      <c r="F71" s="30"/>
      <c r="G71" s="61">
        <f>'[1]VBD JE'!M15</f>
        <v>250</v>
      </c>
      <c r="H71" s="30">
        <f>'[1]VBD JE'!R15</f>
        <v>0</v>
      </c>
      <c r="I71" s="30">
        <f>'[1]VBD JE'!W15</f>
        <v>345</v>
      </c>
      <c r="J71" s="30">
        <f>SUM(E71:I71)</f>
        <v>658.0048076923076</v>
      </c>
      <c r="K71" s="41"/>
      <c r="L71" s="41"/>
      <c r="M71" s="41"/>
      <c r="N71" s="41"/>
      <c r="O71" s="41"/>
      <c r="P71" s="41"/>
      <c r="Q71" s="62"/>
      <c r="R71" s="112"/>
      <c r="S71" s="112"/>
      <c r="T71" s="112"/>
      <c r="U71" s="112"/>
      <c r="V71" s="112"/>
      <c r="W71" s="112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</row>
    <row r="72" spans="1:77" ht="15">
      <c r="A72" s="287"/>
      <c r="B72" s="338" t="s">
        <v>244</v>
      </c>
      <c r="C72" s="33" t="s">
        <v>80</v>
      </c>
      <c r="D72" s="33"/>
      <c r="E72" s="61">
        <f>'[1]VBD LF'!G15</f>
        <v>252.01923076923077</v>
      </c>
      <c r="F72" s="30"/>
      <c r="G72" s="61">
        <f>'[1]VBD LF'!M15</f>
        <v>250</v>
      </c>
      <c r="H72" s="30">
        <f>'[1]VBD LF'!R15</f>
        <v>0</v>
      </c>
      <c r="I72" s="30">
        <f>'[1]VBD LF'!W15</f>
        <v>45</v>
      </c>
      <c r="J72" s="30">
        <f>SUM(E72:I72)</f>
        <v>547.0192307692307</v>
      </c>
      <c r="K72" s="41"/>
      <c r="L72" s="41"/>
      <c r="M72" s="41"/>
      <c r="N72" s="41"/>
      <c r="O72" s="41"/>
      <c r="P72" s="41"/>
      <c r="Q72" s="62"/>
      <c r="R72" s="112"/>
      <c r="S72" s="112"/>
      <c r="T72" s="112"/>
      <c r="U72" s="112"/>
      <c r="V72" s="112"/>
      <c r="W72" s="112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</row>
    <row r="73" spans="1:77" ht="15">
      <c r="A73" s="287"/>
      <c r="B73" s="337" t="s">
        <v>245</v>
      </c>
      <c r="C73" s="33"/>
      <c r="D73" s="33"/>
      <c r="E73" s="61"/>
      <c r="F73" s="30"/>
      <c r="G73" s="61"/>
      <c r="H73" s="30"/>
      <c r="I73" s="30"/>
      <c r="J73" s="30"/>
      <c r="K73" s="41"/>
      <c r="L73" s="41"/>
      <c r="M73" s="41"/>
      <c r="N73" s="41"/>
      <c r="O73" s="41"/>
      <c r="P73" s="41"/>
      <c r="Q73" s="62"/>
      <c r="R73" s="112"/>
      <c r="S73" s="112"/>
      <c r="T73" s="112"/>
      <c r="U73" s="112"/>
      <c r="V73" s="112"/>
      <c r="W73" s="112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</row>
    <row r="74" spans="1:77" ht="15">
      <c r="A74" s="287"/>
      <c r="B74" s="337" t="s">
        <v>246</v>
      </c>
      <c r="C74" s="33"/>
      <c r="D74" s="33"/>
      <c r="E74" s="61"/>
      <c r="F74" s="30"/>
      <c r="G74" s="61"/>
      <c r="H74" s="30"/>
      <c r="I74" s="30"/>
      <c r="J74" s="30"/>
      <c r="K74" s="41"/>
      <c r="L74" s="41"/>
      <c r="M74" s="41"/>
      <c r="N74" s="41"/>
      <c r="O74" s="41"/>
      <c r="P74" s="41"/>
      <c r="Q74" s="62"/>
      <c r="R74" s="112"/>
      <c r="S74" s="112"/>
      <c r="T74" s="112"/>
      <c r="U74" s="112"/>
      <c r="V74" s="112"/>
      <c r="W74" s="112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</row>
    <row r="75" spans="1:77" ht="15">
      <c r="A75" s="287"/>
      <c r="B75" s="339" t="s">
        <v>268</v>
      </c>
      <c r="C75" s="33"/>
      <c r="D75" s="33"/>
      <c r="E75" s="61"/>
      <c r="F75" s="30"/>
      <c r="G75" s="61"/>
      <c r="H75" s="30"/>
      <c r="I75" s="30"/>
      <c r="J75" s="30"/>
      <c r="K75" s="41"/>
      <c r="L75" s="41"/>
      <c r="M75" s="41"/>
      <c r="N75" s="41"/>
      <c r="O75" s="41"/>
      <c r="P75" s="41"/>
      <c r="Q75" s="62"/>
      <c r="R75" s="112"/>
      <c r="S75" s="112"/>
      <c r="T75" s="112"/>
      <c r="U75" s="112"/>
      <c r="V75" s="112"/>
      <c r="W75" s="112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</row>
    <row r="76" spans="1:77" ht="15">
      <c r="A76" s="287"/>
      <c r="B76" s="339" t="s">
        <v>269</v>
      </c>
      <c r="C76" s="33"/>
      <c r="D76" s="33"/>
      <c r="E76" s="61"/>
      <c r="F76" s="30"/>
      <c r="G76" s="61"/>
      <c r="H76" s="30"/>
      <c r="I76" s="30"/>
      <c r="J76" s="30"/>
      <c r="K76" s="41"/>
      <c r="L76" s="41"/>
      <c r="M76" s="41"/>
      <c r="N76" s="41"/>
      <c r="O76" s="41"/>
      <c r="P76" s="41"/>
      <c r="Q76" s="62"/>
      <c r="R76" s="112"/>
      <c r="S76" s="112"/>
      <c r="T76" s="112"/>
      <c r="U76" s="112"/>
      <c r="V76" s="112"/>
      <c r="W76" s="112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</row>
    <row r="77" spans="1:77" ht="15">
      <c r="A77" s="287" t="s">
        <v>81</v>
      </c>
      <c r="B77" s="287"/>
      <c r="C77" s="287"/>
      <c r="D77" s="287"/>
      <c r="E77" s="312"/>
      <c r="F77" s="290"/>
      <c r="G77" s="290"/>
      <c r="H77" s="290"/>
      <c r="I77" s="290"/>
      <c r="J77" s="290"/>
      <c r="K77" s="41"/>
      <c r="L77" s="41"/>
      <c r="M77" s="41"/>
      <c r="N77" s="41"/>
      <c r="O77" s="41"/>
      <c r="P77" s="41"/>
      <c r="Q77" s="62"/>
      <c r="R77" s="112"/>
      <c r="S77" s="112"/>
      <c r="T77" s="112"/>
      <c r="U77" s="112"/>
      <c r="V77" s="112"/>
      <c r="W77" s="112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</row>
    <row r="78" spans="1:77" s="20" customFormat="1" ht="15">
      <c r="A78" s="294">
        <v>54</v>
      </c>
      <c r="B78" s="330" t="s">
        <v>271</v>
      </c>
      <c r="C78" s="294" t="s">
        <v>82</v>
      </c>
      <c r="D78" s="294"/>
      <c r="E78" s="303">
        <f>2.37*960.726686507937</f>
        <v>2276.9222470238105</v>
      </c>
      <c r="F78" s="93"/>
      <c r="G78" s="304">
        <f>2.37*890</f>
        <v>2109.3</v>
      </c>
      <c r="H78" s="304">
        <f>2.37*130.26</f>
        <v>308.7162</v>
      </c>
      <c r="I78" s="304">
        <f>2.37*1517.46734860963</f>
        <v>3596.3976162048234</v>
      </c>
      <c r="J78" s="305">
        <f>SUM(E78:I78)</f>
        <v>8291.336063228633</v>
      </c>
      <c r="K78" s="70"/>
      <c r="L78" s="70"/>
      <c r="M78" s="70"/>
      <c r="N78" s="70"/>
      <c r="O78" s="70"/>
      <c r="P78" s="70"/>
      <c r="Q78" s="71"/>
      <c r="R78" s="271"/>
      <c r="S78" s="271"/>
      <c r="T78" s="271"/>
      <c r="U78" s="271"/>
      <c r="V78" s="271"/>
      <c r="W78" s="271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</row>
    <row r="79" spans="1:77" s="20" customFormat="1" ht="15">
      <c r="A79" s="294">
        <v>55</v>
      </c>
      <c r="B79" s="318" t="s">
        <v>272</v>
      </c>
      <c r="C79" s="294" t="s">
        <v>83</v>
      </c>
      <c r="D79" s="294"/>
      <c r="E79" s="303">
        <f>2.37*960.726686507937</f>
        <v>2276.9222470238105</v>
      </c>
      <c r="F79" s="93"/>
      <c r="G79" s="304">
        <f>2.37*890</f>
        <v>2109.3</v>
      </c>
      <c r="H79" s="304">
        <f>2.37*130.26</f>
        <v>308.7162</v>
      </c>
      <c r="I79" s="304">
        <f>2.37*1517.46734860963</f>
        <v>3596.3976162048234</v>
      </c>
      <c r="J79" s="305">
        <f>SUM(E79:I79)</f>
        <v>8291.336063228633</v>
      </c>
      <c r="K79" s="70"/>
      <c r="L79" s="70"/>
      <c r="M79" s="70"/>
      <c r="N79" s="70"/>
      <c r="O79" s="70"/>
      <c r="P79" s="70"/>
      <c r="Q79" s="71"/>
      <c r="R79" s="271"/>
      <c r="S79" s="271"/>
      <c r="T79" s="271"/>
      <c r="U79" s="271"/>
      <c r="V79" s="271"/>
      <c r="W79" s="271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</row>
    <row r="80" spans="1:77" ht="15">
      <c r="A80" s="291" t="s">
        <v>84</v>
      </c>
      <c r="C80" s="291" t="s">
        <v>85</v>
      </c>
      <c r="D80" s="291"/>
      <c r="E80" s="309">
        <f>'[1]HIV'!G17</f>
        <v>126.16586538461539</v>
      </c>
      <c r="F80" s="292"/>
      <c r="G80" s="319">
        <f>'[1]HIV'!M17</f>
        <v>960</v>
      </c>
      <c r="H80" s="319">
        <f>'[1]HIV'!R17</f>
        <v>1116.9</v>
      </c>
      <c r="I80" s="319">
        <f>'[1]HIV'!W17</f>
        <v>1800</v>
      </c>
      <c r="J80" s="319">
        <f>SUM(E80:I80)</f>
        <v>4003.065865384616</v>
      </c>
      <c r="K80" s="41"/>
      <c r="L80" s="41"/>
      <c r="M80" s="41"/>
      <c r="N80" s="41"/>
      <c r="O80" s="41"/>
      <c r="P80" s="41"/>
      <c r="Q80" s="62"/>
      <c r="R80" s="112"/>
      <c r="S80" s="112"/>
      <c r="T80" s="112"/>
      <c r="U80" s="112"/>
      <c r="V80" s="112"/>
      <c r="W80" s="112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</row>
    <row r="81" spans="1:77" ht="15">
      <c r="A81" s="291">
        <v>56</v>
      </c>
      <c r="B81" s="340" t="s">
        <v>86</v>
      </c>
      <c r="C81" s="33" t="s">
        <v>86</v>
      </c>
      <c r="D81" s="291"/>
      <c r="E81" s="309"/>
      <c r="F81" s="292"/>
      <c r="G81" s="319"/>
      <c r="H81" s="319"/>
      <c r="I81" s="319"/>
      <c r="J81" s="319"/>
      <c r="K81" s="41"/>
      <c r="L81" s="41"/>
      <c r="M81" s="41"/>
      <c r="N81" s="41"/>
      <c r="O81" s="41"/>
      <c r="P81" s="41"/>
      <c r="Q81" s="62"/>
      <c r="R81" s="112"/>
      <c r="S81" s="112"/>
      <c r="T81" s="112"/>
      <c r="U81" s="112"/>
      <c r="V81" s="112"/>
      <c r="W81" s="112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</row>
    <row r="82" spans="1:77" ht="15">
      <c r="A82" s="291">
        <v>57</v>
      </c>
      <c r="B82" s="340" t="s">
        <v>87</v>
      </c>
      <c r="C82" s="33" t="s">
        <v>87</v>
      </c>
      <c r="D82" s="291"/>
      <c r="E82" s="309"/>
      <c r="F82" s="292"/>
      <c r="G82" s="319"/>
      <c r="H82" s="319"/>
      <c r="I82" s="319"/>
      <c r="J82" s="319"/>
      <c r="K82" s="41"/>
      <c r="L82" s="41"/>
      <c r="M82" s="41"/>
      <c r="N82" s="41"/>
      <c r="O82" s="41"/>
      <c r="P82" s="41"/>
      <c r="Q82" s="62"/>
      <c r="R82" s="112"/>
      <c r="S82" s="112"/>
      <c r="T82" s="112"/>
      <c r="U82" s="112"/>
      <c r="V82" s="112"/>
      <c r="W82" s="112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</row>
    <row r="83" spans="1:77" ht="15">
      <c r="A83" s="291"/>
      <c r="C83" s="291"/>
      <c r="D83" s="291"/>
      <c r="E83" s="309"/>
      <c r="F83" s="292"/>
      <c r="G83" s="319"/>
      <c r="H83" s="319"/>
      <c r="I83" s="319"/>
      <c r="J83" s="319"/>
      <c r="K83" s="41"/>
      <c r="L83" s="41"/>
      <c r="M83" s="41"/>
      <c r="N83" s="41"/>
      <c r="O83" s="41"/>
      <c r="P83" s="41"/>
      <c r="Q83" s="62"/>
      <c r="R83" s="112"/>
      <c r="S83" s="112"/>
      <c r="T83" s="112"/>
      <c r="U83" s="112"/>
      <c r="V83" s="112"/>
      <c r="W83" s="112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</row>
    <row r="84" spans="1:77" ht="15">
      <c r="A84" s="291">
        <v>58</v>
      </c>
      <c r="B84" s="164" t="s">
        <v>270</v>
      </c>
      <c r="C84" s="291" t="s">
        <v>88</v>
      </c>
      <c r="D84" s="291"/>
      <c r="E84" s="309"/>
      <c r="F84" s="292"/>
      <c r="G84" s="319"/>
      <c r="H84" s="319"/>
      <c r="I84" s="319"/>
      <c r="J84" s="319"/>
      <c r="K84" s="41"/>
      <c r="L84" s="41"/>
      <c r="M84" s="41"/>
      <c r="N84" s="41"/>
      <c r="O84" s="41"/>
      <c r="P84" s="41"/>
      <c r="Q84" s="62"/>
      <c r="R84" s="112"/>
      <c r="S84" s="112"/>
      <c r="T84" s="112"/>
      <c r="U84" s="112"/>
      <c r="V84" s="112"/>
      <c r="W84" s="112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</row>
    <row r="85" spans="1:77" ht="15">
      <c r="A85" s="291"/>
      <c r="C85" s="291"/>
      <c r="D85" s="291"/>
      <c r="E85" s="309"/>
      <c r="F85" s="292"/>
      <c r="G85" s="292"/>
      <c r="H85" s="292"/>
      <c r="I85" s="292"/>
      <c r="J85" s="292"/>
      <c r="K85" s="41"/>
      <c r="L85" s="41"/>
      <c r="M85" s="41"/>
      <c r="N85" s="41"/>
      <c r="O85" s="41"/>
      <c r="P85" s="41"/>
      <c r="Q85" s="62"/>
      <c r="R85" s="112"/>
      <c r="S85" s="112"/>
      <c r="T85" s="112"/>
      <c r="U85" s="112"/>
      <c r="V85" s="112"/>
      <c r="W85" s="112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</row>
    <row r="86" spans="1:77" ht="15">
      <c r="A86" s="291" t="s">
        <v>89</v>
      </c>
      <c r="B86" s="341" t="s">
        <v>278</v>
      </c>
      <c r="C86" s="291" t="s">
        <v>90</v>
      </c>
      <c r="D86" s="291"/>
      <c r="E86" s="309"/>
      <c r="F86" s="292"/>
      <c r="G86" s="292"/>
      <c r="H86" s="292"/>
      <c r="I86" s="292"/>
      <c r="J86" s="292"/>
      <c r="K86" s="41"/>
      <c r="L86" s="41"/>
      <c r="M86" s="41"/>
      <c r="N86" s="41"/>
      <c r="O86" s="41"/>
      <c r="P86" s="41"/>
      <c r="Q86" s="62"/>
      <c r="R86" s="112"/>
      <c r="S86" s="112"/>
      <c r="T86" s="112"/>
      <c r="U86" s="112"/>
      <c r="V86" s="112"/>
      <c r="W86" s="112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</row>
    <row r="87" spans="1:77" ht="15">
      <c r="A87" s="310">
        <v>59</v>
      </c>
      <c r="B87" s="164" t="s">
        <v>98</v>
      </c>
      <c r="C87" s="291" t="s">
        <v>91</v>
      </c>
      <c r="D87" s="291"/>
      <c r="E87" s="309">
        <f>'[1]COPD'!G25</f>
        <v>175.9775641025641</v>
      </c>
      <c r="F87" s="292"/>
      <c r="G87" s="292">
        <f>'[1]COPD'!M25</f>
        <v>860</v>
      </c>
      <c r="H87" s="292">
        <f>'[1]COPD'!R25</f>
        <v>1418.3600000000001</v>
      </c>
      <c r="I87" s="292">
        <f>'[1]COPD'!W25</f>
        <v>195</v>
      </c>
      <c r="J87" s="292">
        <f>SUM(E87:I87)</f>
        <v>2649.337564102564</v>
      </c>
      <c r="K87" s="41"/>
      <c r="L87" s="41"/>
      <c r="M87" s="41"/>
      <c r="N87" s="41"/>
      <c r="O87" s="41"/>
      <c r="P87" s="41"/>
      <c r="Q87" s="62"/>
      <c r="R87" s="112"/>
      <c r="S87" s="112"/>
      <c r="T87" s="112"/>
      <c r="U87" s="112"/>
      <c r="V87" s="112"/>
      <c r="W87" s="112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</row>
    <row r="88" spans="1:77" ht="15">
      <c r="A88" s="291" t="s">
        <v>92</v>
      </c>
      <c r="B88" s="339" t="s">
        <v>279</v>
      </c>
      <c r="C88" s="291" t="s">
        <v>93</v>
      </c>
      <c r="D88" s="291"/>
      <c r="E88" s="291"/>
      <c r="F88" s="292"/>
      <c r="G88" s="292"/>
      <c r="H88" s="292"/>
      <c r="I88" s="292"/>
      <c r="J88" s="292"/>
      <c r="K88" s="41"/>
      <c r="L88" s="41"/>
      <c r="M88" s="41"/>
      <c r="N88" s="41"/>
      <c r="O88" s="41"/>
      <c r="P88" s="41"/>
      <c r="Q88" s="62"/>
      <c r="R88" s="112"/>
      <c r="S88" s="112"/>
      <c r="T88" s="112"/>
      <c r="U88" s="112"/>
      <c r="V88" s="112"/>
      <c r="W88" s="112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</row>
    <row r="89" spans="1:77" ht="15">
      <c r="A89" s="287">
        <v>60</v>
      </c>
      <c r="B89" s="164" t="s">
        <v>99</v>
      </c>
      <c r="C89" s="33" t="s">
        <v>94</v>
      </c>
      <c r="D89" s="33"/>
      <c r="E89" s="61">
        <f>'[1]A AA'!G15</f>
        <v>211.39423076923077</v>
      </c>
      <c r="F89" s="30"/>
      <c r="G89" s="30">
        <f>'[1]A AA'!M15</f>
        <v>260</v>
      </c>
      <c r="H89" s="30">
        <f>'[1]A AA'!R15</f>
        <v>1056.952</v>
      </c>
      <c r="I89" s="30">
        <f>'[1]A AA'!W15</f>
        <v>195</v>
      </c>
      <c r="J89" s="30">
        <f>SUM(E89:I89)</f>
        <v>1723.3462307692307</v>
      </c>
      <c r="K89" s="41"/>
      <c r="L89" s="41"/>
      <c r="M89" s="41"/>
      <c r="N89" s="41"/>
      <c r="O89" s="41"/>
      <c r="P89" s="41"/>
      <c r="Q89" s="62"/>
      <c r="R89" s="112"/>
      <c r="S89" s="112"/>
      <c r="T89" s="112"/>
      <c r="U89" s="112"/>
      <c r="V89" s="112"/>
      <c r="W89" s="112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</row>
    <row r="90" spans="1:77" s="20" customFormat="1" ht="15">
      <c r="A90" s="93">
        <v>61</v>
      </c>
      <c r="B90" s="331" t="s">
        <v>280</v>
      </c>
      <c r="C90" s="100" t="s">
        <v>95</v>
      </c>
      <c r="D90" s="100"/>
      <c r="E90" s="114">
        <v>175.9775641025641</v>
      </c>
      <c r="F90" s="115"/>
      <c r="G90" s="115">
        <v>860</v>
      </c>
      <c r="H90" s="115">
        <v>1418.3600000000001</v>
      </c>
      <c r="I90" s="115">
        <v>195</v>
      </c>
      <c r="J90" s="115">
        <v>2649.337564102564</v>
      </c>
      <c r="K90" s="70"/>
      <c r="L90" s="70"/>
      <c r="M90" s="70"/>
      <c r="N90" s="70"/>
      <c r="O90" s="70"/>
      <c r="P90" s="70"/>
      <c r="Q90" s="71"/>
      <c r="R90" s="271"/>
      <c r="S90" s="271"/>
      <c r="T90" s="271"/>
      <c r="U90" s="271"/>
      <c r="V90" s="271"/>
      <c r="W90" s="271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</row>
    <row r="91" spans="1:77" ht="26.25">
      <c r="A91" s="287" t="s">
        <v>96</v>
      </c>
      <c r="B91" s="331" t="s">
        <v>281</v>
      </c>
      <c r="C91" s="33" t="s">
        <v>97</v>
      </c>
      <c r="D91" s="33"/>
      <c r="E91" s="61"/>
      <c r="F91" s="30"/>
      <c r="G91" s="30"/>
      <c r="H91" s="30"/>
      <c r="I91" s="30"/>
      <c r="J91" s="30"/>
      <c r="K91" s="41"/>
      <c r="L91" s="41"/>
      <c r="M91" s="41"/>
      <c r="N91" s="41"/>
      <c r="O91" s="41"/>
      <c r="P91" s="41"/>
      <c r="Q91" s="62"/>
      <c r="R91" s="112"/>
      <c r="S91" s="112"/>
      <c r="T91" s="112"/>
      <c r="U91" s="112"/>
      <c r="V91" s="112"/>
      <c r="W91" s="112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</row>
    <row r="92" spans="1:77" s="233" customFormat="1" ht="12.75">
      <c r="A92" s="229">
        <v>62</v>
      </c>
      <c r="B92" s="164" t="s">
        <v>100</v>
      </c>
      <c r="C92" s="250" t="s">
        <v>98</v>
      </c>
      <c r="D92" s="236" t="s">
        <v>40</v>
      </c>
      <c r="E92" s="229"/>
      <c r="F92" s="229"/>
      <c r="G92" s="229"/>
      <c r="H92" s="229"/>
      <c r="I92" s="229"/>
      <c r="J92" s="229"/>
      <c r="K92" s="275"/>
      <c r="L92" s="275"/>
      <c r="M92" s="275"/>
      <c r="N92" s="276"/>
      <c r="O92" s="277"/>
      <c r="P92" s="278"/>
      <c r="Q92" s="278"/>
      <c r="R92" s="275"/>
      <c r="S92" s="275"/>
      <c r="T92" s="278"/>
      <c r="U92" s="275"/>
      <c r="V92" s="278"/>
      <c r="W92" s="275"/>
      <c r="X92" s="278"/>
      <c r="Y92" s="275"/>
      <c r="Z92" s="278"/>
      <c r="AA92" s="275"/>
      <c r="AB92" s="278"/>
      <c r="AC92" s="275"/>
      <c r="AD92" s="278"/>
      <c r="AE92" s="275"/>
      <c r="AF92" s="278"/>
      <c r="AG92" s="275"/>
      <c r="AH92" s="278"/>
      <c r="AI92" s="275"/>
      <c r="AJ92" s="275"/>
      <c r="AK92" s="275"/>
      <c r="AL92" s="275"/>
      <c r="AM92" s="275"/>
      <c r="AN92" s="275"/>
      <c r="AO92" s="275"/>
      <c r="AP92" s="275"/>
      <c r="AQ92" s="275"/>
      <c r="AR92" s="275"/>
      <c r="AS92" s="275"/>
      <c r="AT92" s="275"/>
      <c r="AU92" s="275"/>
      <c r="AV92" s="275"/>
      <c r="AW92" s="275"/>
      <c r="AX92" s="275"/>
      <c r="AY92" s="275"/>
      <c r="AZ92" s="275"/>
      <c r="BA92" s="275"/>
      <c r="BB92" s="275"/>
      <c r="BC92" s="275"/>
      <c r="BD92" s="275"/>
      <c r="BE92" s="275"/>
      <c r="BF92" s="275"/>
      <c r="BG92" s="275"/>
      <c r="BH92" s="275"/>
      <c r="BI92" s="275"/>
      <c r="BJ92" s="275"/>
      <c r="BK92" s="275"/>
      <c r="BL92" s="275"/>
      <c r="BM92" s="275"/>
      <c r="BN92" s="275"/>
      <c r="BO92" s="275"/>
      <c r="BP92" s="275"/>
      <c r="BQ92" s="275"/>
      <c r="BR92" s="275"/>
      <c r="BS92" s="275"/>
      <c r="BT92" s="275"/>
      <c r="BU92" s="275"/>
      <c r="BV92" s="275"/>
      <c r="BW92" s="275"/>
      <c r="BX92" s="275"/>
      <c r="BY92" s="275"/>
    </row>
    <row r="93" spans="1:77" s="48" customFormat="1" ht="15">
      <c r="A93" s="45">
        <v>63</v>
      </c>
      <c r="B93" s="164" t="s">
        <v>101</v>
      </c>
      <c r="C93" s="119" t="s">
        <v>99</v>
      </c>
      <c r="D93" s="44" t="s">
        <v>42</v>
      </c>
      <c r="E93" s="56">
        <f>2.37*112.25353422619</f>
        <v>266.0408761160703</v>
      </c>
      <c r="F93" s="56">
        <f>2.37*35</f>
        <v>82.95</v>
      </c>
      <c r="G93" s="56">
        <f>2.37*660</f>
        <v>1564.2</v>
      </c>
      <c r="H93" s="56">
        <f>2.37*1191.3218</f>
        <v>2823.432666</v>
      </c>
      <c r="I93" s="56">
        <f>2.37*123.281372865068</f>
        <v>292.17685369021115</v>
      </c>
      <c r="J93" s="30">
        <f>SUM(E93:I93)</f>
        <v>5028.800395806282</v>
      </c>
      <c r="K93" s="51"/>
      <c r="L93" s="51"/>
      <c r="M93" s="51"/>
      <c r="N93" s="279"/>
      <c r="O93" s="264"/>
      <c r="P93" s="219"/>
      <c r="Q93" s="219"/>
      <c r="R93" s="51"/>
      <c r="S93" s="51"/>
      <c r="T93" s="219"/>
      <c r="U93" s="51"/>
      <c r="V93" s="219"/>
      <c r="W93" s="51"/>
      <c r="X93" s="219"/>
      <c r="Y93" s="51"/>
      <c r="Z93" s="219"/>
      <c r="AA93" s="51"/>
      <c r="AB93" s="219"/>
      <c r="AC93" s="51"/>
      <c r="AD93" s="219"/>
      <c r="AE93" s="51"/>
      <c r="AF93" s="219"/>
      <c r="AG93" s="51"/>
      <c r="AH93" s="219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</row>
    <row r="94" spans="1:77" s="233" customFormat="1" ht="12.75">
      <c r="A94" s="229">
        <v>64</v>
      </c>
      <c r="B94" s="229"/>
      <c r="C94" s="250" t="s">
        <v>100</v>
      </c>
      <c r="D94" s="236" t="s">
        <v>42</v>
      </c>
      <c r="E94" s="229"/>
      <c r="F94" s="229"/>
      <c r="G94" s="229"/>
      <c r="H94" s="229"/>
      <c r="I94" s="229"/>
      <c r="J94" s="229"/>
      <c r="K94" s="275"/>
      <c r="L94" s="275"/>
      <c r="M94" s="275"/>
      <c r="N94" s="276"/>
      <c r="O94" s="277"/>
      <c r="P94" s="278"/>
      <c r="Q94" s="278"/>
      <c r="R94" s="275"/>
      <c r="S94" s="275"/>
      <c r="T94" s="278"/>
      <c r="U94" s="275"/>
      <c r="V94" s="278"/>
      <c r="W94" s="275"/>
      <c r="X94" s="278"/>
      <c r="Y94" s="275"/>
      <c r="Z94" s="278"/>
      <c r="AA94" s="275"/>
      <c r="AB94" s="278"/>
      <c r="AC94" s="275"/>
      <c r="AD94" s="278"/>
      <c r="AE94" s="275"/>
      <c r="AF94" s="278"/>
      <c r="AG94" s="275"/>
      <c r="AH94" s="278"/>
      <c r="AI94" s="275"/>
      <c r="AJ94" s="275"/>
      <c r="AK94" s="275"/>
      <c r="AL94" s="275"/>
      <c r="AM94" s="275"/>
      <c r="AN94" s="275"/>
      <c r="AO94" s="275"/>
      <c r="AP94" s="275"/>
      <c r="AQ94" s="275"/>
      <c r="AR94" s="275"/>
      <c r="AS94" s="275"/>
      <c r="AT94" s="275"/>
      <c r="AU94" s="275"/>
      <c r="AV94" s="275"/>
      <c r="AW94" s="275"/>
      <c r="AX94" s="275"/>
      <c r="AY94" s="275"/>
      <c r="AZ94" s="275"/>
      <c r="BA94" s="275"/>
      <c r="BB94" s="275"/>
      <c r="BC94" s="275"/>
      <c r="BD94" s="275"/>
      <c r="BE94" s="275"/>
      <c r="BF94" s="275"/>
      <c r="BG94" s="275"/>
      <c r="BH94" s="275"/>
      <c r="BI94" s="275"/>
      <c r="BJ94" s="275"/>
      <c r="BK94" s="275"/>
      <c r="BL94" s="275"/>
      <c r="BM94" s="275"/>
      <c r="BN94" s="275"/>
      <c r="BO94" s="275"/>
      <c r="BP94" s="275"/>
      <c r="BQ94" s="275"/>
      <c r="BR94" s="275"/>
      <c r="BS94" s="275"/>
      <c r="BT94" s="275"/>
      <c r="BU94" s="275"/>
      <c r="BV94" s="275"/>
      <c r="BW94" s="275"/>
      <c r="BX94" s="275"/>
      <c r="BY94" s="275"/>
    </row>
    <row r="95" spans="1:77" s="233" customFormat="1" ht="12.75">
      <c r="A95" s="229">
        <v>65</v>
      </c>
      <c r="B95" s="229"/>
      <c r="C95" s="250" t="s">
        <v>101</v>
      </c>
      <c r="D95" s="236" t="s">
        <v>42</v>
      </c>
      <c r="E95" s="229"/>
      <c r="F95" s="229"/>
      <c r="G95" s="229"/>
      <c r="H95" s="229"/>
      <c r="I95" s="229"/>
      <c r="J95" s="229"/>
      <c r="K95" s="275"/>
      <c r="L95" s="275"/>
      <c r="M95" s="275"/>
      <c r="N95" s="276"/>
      <c r="O95" s="277"/>
      <c r="P95" s="278"/>
      <c r="Q95" s="278"/>
      <c r="R95" s="275"/>
      <c r="S95" s="275"/>
      <c r="T95" s="278"/>
      <c r="U95" s="275"/>
      <c r="V95" s="278"/>
      <c r="W95" s="275"/>
      <c r="X95" s="278"/>
      <c r="Y95" s="275"/>
      <c r="Z95" s="278"/>
      <c r="AA95" s="275"/>
      <c r="AB95" s="278"/>
      <c r="AC95" s="275"/>
      <c r="AD95" s="278"/>
      <c r="AE95" s="275"/>
      <c r="AF95" s="278"/>
      <c r="AG95" s="275"/>
      <c r="AH95" s="278"/>
      <c r="AI95" s="275"/>
      <c r="AJ95" s="275"/>
      <c r="AK95" s="275"/>
      <c r="AL95" s="275"/>
      <c r="AM95" s="275"/>
      <c r="AN95" s="275"/>
      <c r="AO95" s="275"/>
      <c r="AP95" s="275"/>
      <c r="AQ95" s="275"/>
      <c r="AR95" s="275"/>
      <c r="AS95" s="275"/>
      <c r="AT95" s="275"/>
      <c r="AU95" s="275"/>
      <c r="AV95" s="275"/>
      <c r="AW95" s="275"/>
      <c r="AX95" s="275"/>
      <c r="AY95" s="275"/>
      <c r="AZ95" s="275"/>
      <c r="BA95" s="275"/>
      <c r="BB95" s="275"/>
      <c r="BC95" s="275"/>
      <c r="BD95" s="275"/>
      <c r="BE95" s="275"/>
      <c r="BF95" s="275"/>
      <c r="BG95" s="275"/>
      <c r="BH95" s="275"/>
      <c r="BI95" s="275"/>
      <c r="BJ95" s="275"/>
      <c r="BK95" s="275"/>
      <c r="BL95" s="275"/>
      <c r="BM95" s="275"/>
      <c r="BN95" s="275"/>
      <c r="BO95" s="275"/>
      <c r="BP95" s="275"/>
      <c r="BQ95" s="275"/>
      <c r="BR95" s="275"/>
      <c r="BS95" s="275"/>
      <c r="BT95" s="275"/>
      <c r="BU95" s="275"/>
      <c r="BV95" s="275"/>
      <c r="BW95" s="275"/>
      <c r="BX95" s="275"/>
      <c r="BY95" s="275"/>
    </row>
    <row r="96" spans="1:77" ht="15">
      <c r="A96" s="287"/>
      <c r="B96" s="287"/>
      <c r="C96" s="287"/>
      <c r="D96" s="287"/>
      <c r="E96" s="312"/>
      <c r="F96" s="290"/>
      <c r="G96" s="290"/>
      <c r="H96" s="290"/>
      <c r="I96" s="290"/>
      <c r="J96" s="290"/>
      <c r="K96" s="41"/>
      <c r="L96" s="41"/>
      <c r="M96" s="41"/>
      <c r="N96" s="41"/>
      <c r="O96" s="41"/>
      <c r="P96" s="41"/>
      <c r="Q96" s="62"/>
      <c r="R96" s="112"/>
      <c r="S96" s="112"/>
      <c r="T96" s="112"/>
      <c r="U96" s="112"/>
      <c r="V96" s="112"/>
      <c r="W96" s="112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</row>
    <row r="97" spans="1:77" ht="15">
      <c r="A97" s="287" t="s">
        <v>102</v>
      </c>
      <c r="B97" s="287"/>
      <c r="C97" s="291" t="s">
        <v>103</v>
      </c>
      <c r="D97" s="291"/>
      <c r="E97" s="61"/>
      <c r="F97" s="30"/>
      <c r="G97" s="30"/>
      <c r="H97" s="30"/>
      <c r="I97" s="30"/>
      <c r="J97" s="292"/>
      <c r="K97" s="41"/>
      <c r="L97" s="41"/>
      <c r="M97" s="41"/>
      <c r="N97" s="41"/>
      <c r="O97" s="41"/>
      <c r="P97" s="41"/>
      <c r="Q97" s="62"/>
      <c r="R97" s="112"/>
      <c r="S97" s="112"/>
      <c r="T97" s="112"/>
      <c r="U97" s="112"/>
      <c r="V97" s="112"/>
      <c r="W97" s="112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</row>
    <row r="98" spans="1:77" ht="15">
      <c r="A98" s="291">
        <v>62</v>
      </c>
      <c r="B98" s="331" t="s">
        <v>103</v>
      </c>
      <c r="C98" s="33" t="s">
        <v>104</v>
      </c>
      <c r="D98" s="33"/>
      <c r="E98" s="320">
        <f>'[1]D M min insu'!G15</f>
        <v>109.47115384615385</v>
      </c>
      <c r="F98" s="290">
        <f>'[1]D M min insu'!K15</f>
        <v>0</v>
      </c>
      <c r="G98" s="290">
        <f>'[1]D M min insu'!M15</f>
        <v>275</v>
      </c>
      <c r="H98" s="290">
        <f>'[1]D M min insu'!R15</f>
        <v>211.48100000000005</v>
      </c>
      <c r="I98" s="290">
        <f>'[1]D M min insu'!W15</f>
        <v>180</v>
      </c>
      <c r="J98" s="319">
        <f>SUM(E98:I98)</f>
        <v>775.9521538461539</v>
      </c>
      <c r="K98" s="41"/>
      <c r="L98" s="41"/>
      <c r="M98" s="41"/>
      <c r="N98" s="41"/>
      <c r="O98" s="41"/>
      <c r="P98" s="41"/>
      <c r="Q98" s="62"/>
      <c r="R98" s="112"/>
      <c r="S98" s="112"/>
      <c r="T98" s="112"/>
      <c r="U98" s="112"/>
      <c r="V98" s="112"/>
      <c r="W98" s="112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</row>
    <row r="99" spans="1:77" ht="15">
      <c r="A99" s="291">
        <v>63</v>
      </c>
      <c r="B99" s="291"/>
      <c r="C99" s="33" t="s">
        <v>105</v>
      </c>
      <c r="D99" s="33"/>
      <c r="E99" s="320">
        <f>'[1]D M plu insu'!G15</f>
        <v>109.47115384615385</v>
      </c>
      <c r="F99" s="290"/>
      <c r="G99" s="290">
        <f>'[1]D M plu insu'!M15</f>
        <v>300</v>
      </c>
      <c r="H99" s="290">
        <f>'[1]D M plu insu'!R15</f>
        <v>30615.981000000003</v>
      </c>
      <c r="I99" s="290">
        <f>'[1]D M plu insu'!W15</f>
        <v>180</v>
      </c>
      <c r="J99" s="319">
        <f>SUM(E99:I99)</f>
        <v>31205.452153846156</v>
      </c>
      <c r="K99" s="41"/>
      <c r="L99" s="41"/>
      <c r="M99" s="41"/>
      <c r="N99" s="41"/>
      <c r="O99" s="41"/>
      <c r="P99" s="41"/>
      <c r="Q99" s="62"/>
      <c r="R99" s="112"/>
      <c r="S99" s="112"/>
      <c r="T99" s="112"/>
      <c r="U99" s="112"/>
      <c r="V99" s="112"/>
      <c r="W99" s="112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</row>
    <row r="100" spans="1:77" ht="15">
      <c r="A100" s="291" t="s">
        <v>106</v>
      </c>
      <c r="B100" s="291"/>
      <c r="C100" s="291"/>
      <c r="D100" s="291"/>
      <c r="E100" s="309"/>
      <c r="F100" s="292"/>
      <c r="G100" s="292"/>
      <c r="H100" s="292"/>
      <c r="I100" s="292"/>
      <c r="J100" s="292"/>
      <c r="K100" s="41"/>
      <c r="L100" s="41"/>
      <c r="M100" s="41"/>
      <c r="N100" s="41"/>
      <c r="O100" s="41"/>
      <c r="P100" s="41"/>
      <c r="Q100" s="62"/>
      <c r="R100" s="112"/>
      <c r="S100" s="112"/>
      <c r="T100" s="112"/>
      <c r="U100" s="112"/>
      <c r="V100" s="112"/>
      <c r="W100" s="112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</row>
    <row r="101" spans="1:77" ht="15">
      <c r="A101" s="287">
        <v>64</v>
      </c>
      <c r="B101" s="287"/>
      <c r="C101" s="291" t="s">
        <v>107</v>
      </c>
      <c r="D101" s="291"/>
      <c r="E101" s="309">
        <f>'[1]H S'!G18</f>
        <v>5581.3733974358975</v>
      </c>
      <c r="F101" s="292"/>
      <c r="G101" s="292">
        <f>'[1]H S'!M18</f>
        <v>23097</v>
      </c>
      <c r="H101" s="292">
        <f>'[1]H S'!R18</f>
        <v>2395.1300000000006</v>
      </c>
      <c r="I101" s="292">
        <f>'[1]H S'!W18</f>
        <v>3350</v>
      </c>
      <c r="J101" s="292">
        <f>SUM(E101:I101)</f>
        <v>34423.503397435896</v>
      </c>
      <c r="K101" s="41"/>
      <c r="L101" s="41"/>
      <c r="M101" s="41"/>
      <c r="N101" s="41"/>
      <c r="O101" s="41"/>
      <c r="P101" s="41"/>
      <c r="Q101" s="62"/>
      <c r="R101" s="112"/>
      <c r="S101" s="112"/>
      <c r="T101" s="112"/>
      <c r="U101" s="112"/>
      <c r="V101" s="112"/>
      <c r="W101" s="112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</row>
    <row r="102" spans="1:77" ht="15">
      <c r="A102" s="291"/>
      <c r="B102" s="291"/>
      <c r="C102" s="291"/>
      <c r="D102" s="291"/>
      <c r="E102" s="309"/>
      <c r="F102" s="292"/>
      <c r="G102" s="292"/>
      <c r="H102" s="292"/>
      <c r="I102" s="292"/>
      <c r="J102" s="292"/>
      <c r="K102" s="41"/>
      <c r="L102" s="41"/>
      <c r="M102" s="41"/>
      <c r="N102" s="41"/>
      <c r="O102" s="41"/>
      <c r="P102" s="41"/>
      <c r="Q102" s="62"/>
      <c r="R102" s="112"/>
      <c r="S102" s="112"/>
      <c r="T102" s="112"/>
      <c r="U102" s="112"/>
      <c r="V102" s="112"/>
      <c r="W102" s="112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</row>
    <row r="103" spans="1:77" ht="15">
      <c r="A103" s="291" t="s">
        <v>108</v>
      </c>
      <c r="B103" s="341" t="s">
        <v>282</v>
      </c>
      <c r="C103" s="291" t="s">
        <v>109</v>
      </c>
      <c r="D103" s="291"/>
      <c r="E103" s="309"/>
      <c r="F103" s="292"/>
      <c r="G103" s="292"/>
      <c r="H103" s="292"/>
      <c r="I103" s="292"/>
      <c r="J103" s="292"/>
      <c r="K103" s="41"/>
      <c r="L103" s="41"/>
      <c r="M103" s="41"/>
      <c r="N103" s="41"/>
      <c r="O103" s="41"/>
      <c r="P103" s="41"/>
      <c r="Q103" s="62"/>
      <c r="R103" s="112"/>
      <c r="S103" s="112"/>
      <c r="T103" s="112"/>
      <c r="U103" s="112"/>
      <c r="V103" s="112"/>
      <c r="W103" s="112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</row>
    <row r="104" spans="1:77" ht="15">
      <c r="A104" s="287" t="s">
        <v>110</v>
      </c>
      <c r="B104" s="331" t="s">
        <v>283</v>
      </c>
      <c r="C104" s="33" t="s">
        <v>111</v>
      </c>
      <c r="D104" s="33"/>
      <c r="E104" s="61"/>
      <c r="F104" s="30"/>
      <c r="G104" s="30"/>
      <c r="H104" s="29"/>
      <c r="I104" s="30"/>
      <c r="J104" s="29"/>
      <c r="K104" s="41"/>
      <c r="L104" s="41"/>
      <c r="M104" s="41"/>
      <c r="N104" s="41"/>
      <c r="O104" s="41"/>
      <c r="P104" s="41"/>
      <c r="Q104" s="62"/>
      <c r="R104" s="112"/>
      <c r="S104" s="112"/>
      <c r="T104" s="112"/>
      <c r="U104" s="112"/>
      <c r="V104" s="112"/>
      <c r="W104" s="112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</row>
    <row r="105" spans="1:77" ht="15">
      <c r="A105" s="287">
        <v>65</v>
      </c>
      <c r="B105" s="331" t="s">
        <v>284</v>
      </c>
      <c r="C105" s="33" t="s">
        <v>112</v>
      </c>
      <c r="D105" s="33"/>
      <c r="E105" s="61">
        <f>'[1]C CAD Inci'!G22</f>
        <v>5440.379807692308</v>
      </c>
      <c r="F105" s="30">
        <f>'[1]C CAD Inci'!K22</f>
        <v>475.86175000000003</v>
      </c>
      <c r="G105" s="30">
        <f>'[1]C CAD Inci'!M22</f>
        <v>1600</v>
      </c>
      <c r="H105" s="29">
        <f>'[1]C CAD Inci'!R22</f>
        <v>15658.547</v>
      </c>
      <c r="I105" s="30">
        <f>'[1]C CAD Inci'!W22</f>
        <v>3350</v>
      </c>
      <c r="J105" s="29">
        <f>'[1]C CAD Inci'!X22</f>
        <v>26524.788557692307</v>
      </c>
      <c r="K105" s="41"/>
      <c r="L105" s="41"/>
      <c r="M105" s="41"/>
      <c r="N105" s="41"/>
      <c r="O105" s="41"/>
      <c r="P105" s="41"/>
      <c r="Q105" s="62"/>
      <c r="R105" s="112"/>
      <c r="S105" s="112"/>
      <c r="T105" s="112"/>
      <c r="U105" s="112"/>
      <c r="V105" s="112"/>
      <c r="W105" s="112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</row>
    <row r="106" spans="1:77" ht="15">
      <c r="A106" s="287">
        <v>66</v>
      </c>
      <c r="B106" s="331" t="s">
        <v>285</v>
      </c>
      <c r="C106" s="33" t="s">
        <v>113</v>
      </c>
      <c r="D106" s="33"/>
      <c r="E106" s="61">
        <f>'[1]C CAD Prev'!G20</f>
        <v>254.59935897435898</v>
      </c>
      <c r="F106" s="30">
        <f>'[1]C CAD Prev'!K20</f>
        <v>0</v>
      </c>
      <c r="G106" s="30">
        <f>'[1]C CAD Prev'!M20</f>
        <v>1600</v>
      </c>
      <c r="H106" s="29">
        <f>'[1]C CAD Prev'!R20</f>
        <v>1557.727</v>
      </c>
      <c r="I106" s="30">
        <f>'[1]C CAD Prev'!W20</f>
        <v>600</v>
      </c>
      <c r="J106" s="29">
        <f>'[1]C CAD Prev'!X20</f>
        <v>4012.3263589743588</v>
      </c>
      <c r="K106" s="41"/>
      <c r="L106" s="41"/>
      <c r="M106" s="41"/>
      <c r="N106" s="41"/>
      <c r="O106" s="41"/>
      <c r="P106" s="41"/>
      <c r="Q106" s="62"/>
      <c r="R106" s="112"/>
      <c r="S106" s="112"/>
      <c r="T106" s="112"/>
      <c r="U106" s="112"/>
      <c r="V106" s="112"/>
      <c r="W106" s="112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</row>
    <row r="107" spans="1:77" ht="15">
      <c r="A107" s="287">
        <v>67</v>
      </c>
      <c r="B107" s="331" t="s">
        <v>286</v>
      </c>
      <c r="C107" s="33" t="s">
        <v>114</v>
      </c>
      <c r="D107" s="33"/>
      <c r="E107" s="61">
        <f>'[1]C RHD'!G18</f>
        <v>401.3461538461538</v>
      </c>
      <c r="F107" s="30">
        <f>'[1]C RHD'!$K$18</f>
        <v>475.86175000000003</v>
      </c>
      <c r="G107" s="30">
        <f>'[1]C RHD'!$M$18</f>
        <v>1760</v>
      </c>
      <c r="H107" s="30">
        <f>'[1]C RHD'!R18</f>
        <v>285.07</v>
      </c>
      <c r="I107" s="30">
        <f>'[1]C RHD'!W18</f>
        <v>750</v>
      </c>
      <c r="J107" s="30">
        <f aca="true" t="shared" si="6" ref="J107:J113">SUM(E107:I107)</f>
        <v>3672.277903846154</v>
      </c>
      <c r="K107" s="41"/>
      <c r="L107" s="41"/>
      <c r="M107" s="41"/>
      <c r="N107" s="41"/>
      <c r="O107" s="41"/>
      <c r="P107" s="41"/>
      <c r="Q107" s="62"/>
      <c r="R107" s="112"/>
      <c r="S107" s="112"/>
      <c r="T107" s="112"/>
      <c r="U107" s="112"/>
      <c r="V107" s="112"/>
      <c r="W107" s="112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</row>
    <row r="108" spans="1:77" ht="15">
      <c r="A108" s="287" t="s">
        <v>115</v>
      </c>
      <c r="B108" s="164" t="s">
        <v>121</v>
      </c>
      <c r="C108" s="33" t="s">
        <v>116</v>
      </c>
      <c r="D108" s="33"/>
      <c r="E108" s="61">
        <f>'[1]C H'!G21</f>
        <v>59.11057692307692</v>
      </c>
      <c r="F108" s="30"/>
      <c r="G108" s="30">
        <f>'[1]C H'!M21</f>
        <v>1680</v>
      </c>
      <c r="H108" s="30">
        <f>'[1]C H'!R21</f>
        <v>620.5000000000001</v>
      </c>
      <c r="I108" s="30">
        <f>'[1]C H'!W21</f>
        <v>135</v>
      </c>
      <c r="J108" s="30">
        <f t="shared" si="6"/>
        <v>2494.610576923077</v>
      </c>
      <c r="K108" s="41"/>
      <c r="L108" s="41"/>
      <c r="M108" s="41"/>
      <c r="N108" s="41"/>
      <c r="O108" s="41"/>
      <c r="P108" s="41"/>
      <c r="Q108" s="62"/>
      <c r="R108" s="112"/>
      <c r="S108" s="112"/>
      <c r="T108" s="112"/>
      <c r="U108" s="112"/>
      <c r="V108" s="112"/>
      <c r="W108" s="112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</row>
    <row r="109" spans="1:77" ht="15">
      <c r="A109" s="287">
        <v>68</v>
      </c>
      <c r="B109" s="164" t="s">
        <v>287</v>
      </c>
      <c r="C109" s="321" t="s">
        <v>117</v>
      </c>
      <c r="D109" s="321"/>
      <c r="E109" s="61">
        <f>'[1]C H diet'!G21</f>
        <v>59.11057692307692</v>
      </c>
      <c r="F109" s="30"/>
      <c r="G109" s="30">
        <f>'[1]C H diet'!M21</f>
        <v>750</v>
      </c>
      <c r="H109" s="30">
        <f>'[1]C H diet'!R21</f>
        <v>0</v>
      </c>
      <c r="I109" s="30">
        <f>'[1]C H diet'!W21</f>
        <v>135</v>
      </c>
      <c r="J109" s="319">
        <f t="shared" si="6"/>
        <v>944.1105769230769</v>
      </c>
      <c r="K109" s="41"/>
      <c r="L109" s="41"/>
      <c r="M109" s="41"/>
      <c r="N109" s="41"/>
      <c r="O109" s="41"/>
      <c r="P109" s="41"/>
      <c r="Q109" s="62"/>
      <c r="R109" s="112"/>
      <c r="S109" s="112"/>
      <c r="T109" s="112"/>
      <c r="U109" s="112"/>
      <c r="V109" s="112"/>
      <c r="W109" s="112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</row>
    <row r="110" spans="1:77" ht="15">
      <c r="A110" s="287">
        <v>69</v>
      </c>
      <c r="B110" s="164" t="s">
        <v>122</v>
      </c>
      <c r="C110" s="321" t="s">
        <v>118</v>
      </c>
      <c r="D110" s="321"/>
      <c r="E110" s="61">
        <f>'[1]C H 1 drg'!G21</f>
        <v>59.11057692307692</v>
      </c>
      <c r="F110" s="30"/>
      <c r="G110" s="30">
        <f>'[1]C H 1 drg'!M21</f>
        <v>750</v>
      </c>
      <c r="H110" s="30">
        <f>'[1]C H 1 drg'!R21</f>
        <v>310.25000000000006</v>
      </c>
      <c r="I110" s="290">
        <f>'[1]C H 1 drg'!W21</f>
        <v>135</v>
      </c>
      <c r="J110" s="319">
        <f t="shared" si="6"/>
        <v>1254.360576923077</v>
      </c>
      <c r="K110" s="41"/>
      <c r="L110" s="41"/>
      <c r="M110" s="41"/>
      <c r="N110" s="41"/>
      <c r="O110" s="41"/>
      <c r="P110" s="41"/>
      <c r="Q110" s="62"/>
      <c r="R110" s="112"/>
      <c r="S110" s="112"/>
      <c r="T110" s="112"/>
      <c r="U110" s="112"/>
      <c r="V110" s="112"/>
      <c r="W110" s="112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</row>
    <row r="111" spans="1:77" ht="15">
      <c r="A111" s="287">
        <v>70</v>
      </c>
      <c r="B111" s="287"/>
      <c r="C111" s="321" t="s">
        <v>119</v>
      </c>
      <c r="D111" s="321"/>
      <c r="E111" s="61">
        <f>'[1]C H 2 drg'!G21</f>
        <v>59.11057692307692</v>
      </c>
      <c r="F111" s="30"/>
      <c r="G111" s="30">
        <f>'[1]C H 2 drg'!M21</f>
        <v>750</v>
      </c>
      <c r="H111" s="30">
        <f>'[1]C H 2 drg'!R21</f>
        <v>620.5000000000001</v>
      </c>
      <c r="I111" s="30">
        <f>'[1]C H 2 drg'!W21</f>
        <v>135</v>
      </c>
      <c r="J111" s="319">
        <f t="shared" si="6"/>
        <v>1564.6105769230771</v>
      </c>
      <c r="K111" s="41"/>
      <c r="L111" s="41"/>
      <c r="M111" s="41"/>
      <c r="N111" s="41"/>
      <c r="O111" s="41"/>
      <c r="P111" s="41"/>
      <c r="Q111" s="62"/>
      <c r="R111" s="112"/>
      <c r="S111" s="112"/>
      <c r="T111" s="112"/>
      <c r="U111" s="112"/>
      <c r="V111" s="112"/>
      <c r="W111" s="112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</row>
    <row r="112" spans="1:77" s="20" customFormat="1" ht="15">
      <c r="A112" s="93">
        <v>71</v>
      </c>
      <c r="B112" s="93"/>
      <c r="C112" s="322" t="s">
        <v>120</v>
      </c>
      <c r="D112" s="100"/>
      <c r="E112" s="136">
        <f>2.37*1418.29489087302</f>
        <v>3361.3588913690573</v>
      </c>
      <c r="F112" s="137">
        <f>2.37*4553.57142857143</f>
        <v>10791.96428571429</v>
      </c>
      <c r="G112" s="137">
        <f>1163*2.37</f>
        <v>2756.31</v>
      </c>
      <c r="H112" s="137">
        <f>2.37*5228.093</f>
        <v>12390.58041</v>
      </c>
      <c r="I112" s="137">
        <f>2.37*355.508643921546</f>
        <v>842.5554860940641</v>
      </c>
      <c r="J112" s="319">
        <f t="shared" si="6"/>
        <v>30142.769073177416</v>
      </c>
      <c r="K112" s="70"/>
      <c r="L112" s="70"/>
      <c r="M112" s="70"/>
      <c r="N112" s="70"/>
      <c r="O112" s="70"/>
      <c r="P112" s="70"/>
      <c r="Q112" s="71"/>
      <c r="R112" s="271"/>
      <c r="S112" s="271"/>
      <c r="T112" s="271"/>
      <c r="U112" s="271"/>
      <c r="V112" s="271"/>
      <c r="W112" s="271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</row>
    <row r="113" spans="1:77" s="48" customFormat="1" ht="15">
      <c r="A113" s="45">
        <v>72</v>
      </c>
      <c r="B113" s="45"/>
      <c r="C113" s="322" t="s">
        <v>121</v>
      </c>
      <c r="D113" s="44"/>
      <c r="E113" s="56">
        <f>1017.42001488095*2.37</f>
        <v>2411.285435267852</v>
      </c>
      <c r="F113" s="138">
        <f>2.37*4553.57142857143</f>
        <v>10791.96428571429</v>
      </c>
      <c r="G113" s="56">
        <f>12863*2.37</f>
        <v>30485.31</v>
      </c>
      <c r="H113" s="56">
        <f>10247.643*2.37</f>
        <v>24286.913910000003</v>
      </c>
      <c r="I113" s="56">
        <f>704.132328224336*2.37</f>
        <v>1668.7936178916764</v>
      </c>
      <c r="J113" s="319">
        <f t="shared" si="6"/>
        <v>69644.26724887382</v>
      </c>
      <c r="K113" s="51"/>
      <c r="L113" s="51"/>
      <c r="M113" s="51"/>
      <c r="N113" s="279"/>
      <c r="O113" s="264"/>
      <c r="P113" s="219"/>
      <c r="Q113" s="219"/>
      <c r="R113" s="51"/>
      <c r="S113" s="51"/>
      <c r="T113" s="219"/>
      <c r="U113" s="51"/>
      <c r="V113" s="219"/>
      <c r="W113" s="51"/>
      <c r="X113" s="219"/>
      <c r="Y113" s="51"/>
      <c r="Z113" s="219"/>
      <c r="AA113" s="51"/>
      <c r="AB113" s="219"/>
      <c r="AC113" s="51"/>
      <c r="AD113" s="219"/>
      <c r="AE113" s="51"/>
      <c r="AF113" s="219"/>
      <c r="AG113" s="51"/>
      <c r="AH113" s="219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</row>
    <row r="114" spans="1:77" s="48" customFormat="1" ht="12.75">
      <c r="A114" s="139">
        <v>73</v>
      </c>
      <c r="B114" s="139"/>
      <c r="C114" s="322" t="s">
        <v>122</v>
      </c>
      <c r="D114" s="44"/>
      <c r="E114" s="45"/>
      <c r="F114" s="45"/>
      <c r="G114" s="45"/>
      <c r="H114" s="45"/>
      <c r="I114" s="45"/>
      <c r="J114" s="45"/>
      <c r="K114" s="51"/>
      <c r="L114" s="51"/>
      <c r="M114" s="51"/>
      <c r="N114" s="279"/>
      <c r="O114" s="264"/>
      <c r="P114" s="219"/>
      <c r="Q114" s="219"/>
      <c r="R114" s="51"/>
      <c r="S114" s="51"/>
      <c r="T114" s="219"/>
      <c r="U114" s="51"/>
      <c r="V114" s="219"/>
      <c r="W114" s="51"/>
      <c r="X114" s="219"/>
      <c r="Y114" s="51"/>
      <c r="Z114" s="219"/>
      <c r="AA114" s="51"/>
      <c r="AB114" s="219"/>
      <c r="AC114" s="51"/>
      <c r="AD114" s="219"/>
      <c r="AE114" s="51"/>
      <c r="AF114" s="219"/>
      <c r="AG114" s="51"/>
      <c r="AH114" s="219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</row>
    <row r="115" spans="1:77" ht="15">
      <c r="A115" s="287"/>
      <c r="B115" s="287"/>
      <c r="C115" s="287"/>
      <c r="D115" s="287"/>
      <c r="E115" s="312"/>
      <c r="F115" s="290"/>
      <c r="G115" s="290"/>
      <c r="H115" s="290"/>
      <c r="I115" s="290"/>
      <c r="J115" s="290"/>
      <c r="K115" s="41"/>
      <c r="L115" s="41"/>
      <c r="M115" s="41"/>
      <c r="N115" s="41"/>
      <c r="O115" s="41"/>
      <c r="P115" s="41"/>
      <c r="Q115" s="62"/>
      <c r="R115" s="112"/>
      <c r="S115" s="112"/>
      <c r="T115" s="112"/>
      <c r="U115" s="112"/>
      <c r="V115" s="112"/>
      <c r="W115" s="112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</row>
    <row r="116" spans="1:77" ht="15">
      <c r="A116" s="291" t="s">
        <v>123</v>
      </c>
      <c r="B116" s="291"/>
      <c r="C116" s="291" t="s">
        <v>124</v>
      </c>
      <c r="D116" s="291"/>
      <c r="E116" s="309"/>
      <c r="F116" s="292"/>
      <c r="G116" s="292"/>
      <c r="H116" s="292"/>
      <c r="I116" s="292"/>
      <c r="J116" s="292"/>
      <c r="K116" s="41"/>
      <c r="L116" s="41"/>
      <c r="M116" s="41"/>
      <c r="N116" s="41"/>
      <c r="O116" s="41"/>
      <c r="P116" s="41"/>
      <c r="Q116" s="62"/>
      <c r="R116" s="112"/>
      <c r="S116" s="112"/>
      <c r="T116" s="112"/>
      <c r="U116" s="112"/>
      <c r="V116" s="112"/>
      <c r="W116" s="112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</row>
    <row r="117" spans="1:77" ht="15">
      <c r="A117" s="287">
        <v>74</v>
      </c>
      <c r="B117" s="287"/>
      <c r="C117" s="33" t="s">
        <v>125</v>
      </c>
      <c r="D117" s="33"/>
      <c r="E117" s="61">
        <f>'[1]C BC'!G19</f>
        <v>2499.1346153846152</v>
      </c>
      <c r="F117" s="30"/>
      <c r="G117" s="30">
        <f>'[1]C BC'!M19</f>
        <v>895</v>
      </c>
      <c r="H117" s="30">
        <f>'[1]C BC'!R19</f>
        <v>164.628</v>
      </c>
      <c r="I117" s="30">
        <f>'[1]C BC'!W19</f>
        <v>4200</v>
      </c>
      <c r="J117" s="30">
        <f>SUM(E117:I117)</f>
        <v>7758.762615384616</v>
      </c>
      <c r="K117" s="41"/>
      <c r="L117" s="41"/>
      <c r="M117" s="41"/>
      <c r="N117" s="41"/>
      <c r="O117" s="41"/>
      <c r="P117" s="41"/>
      <c r="Q117" s="62"/>
      <c r="R117" s="112"/>
      <c r="S117" s="112"/>
      <c r="T117" s="112"/>
      <c r="U117" s="112"/>
      <c r="V117" s="112"/>
      <c r="W117" s="112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</row>
    <row r="118" spans="1:77" ht="15">
      <c r="A118" s="287">
        <v>75</v>
      </c>
      <c r="B118" s="287"/>
      <c r="C118" s="33" t="s">
        <v>126</v>
      </c>
      <c r="D118" s="33"/>
      <c r="E118" s="61">
        <f>'[1]C CC'!G16</f>
        <v>2499.1346153846152</v>
      </c>
      <c r="F118" s="30"/>
      <c r="G118" s="30">
        <f>'[1]C CC'!M16</f>
        <v>930</v>
      </c>
      <c r="H118" s="30">
        <f>'[1]C CC'!R16</f>
        <v>1314.666</v>
      </c>
      <c r="I118" s="30">
        <f>'[1]C CC'!W16</f>
        <v>4200</v>
      </c>
      <c r="J118" s="30">
        <f>SUM(E118:I118)</f>
        <v>8943.800615384615</v>
      </c>
      <c r="K118" s="41"/>
      <c r="L118" s="41"/>
      <c r="M118" s="41"/>
      <c r="N118" s="41"/>
      <c r="O118" s="41"/>
      <c r="P118" s="41"/>
      <c r="Q118" s="62"/>
      <c r="R118" s="112"/>
      <c r="S118" s="112"/>
      <c r="T118" s="112"/>
      <c r="U118" s="112"/>
      <c r="V118" s="112"/>
      <c r="W118" s="112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</row>
    <row r="119" spans="1:77" ht="15">
      <c r="A119" s="296">
        <v>76</v>
      </c>
      <c r="B119" s="296"/>
      <c r="C119" s="33" t="s">
        <v>127</v>
      </c>
      <c r="D119" s="33"/>
      <c r="E119" s="61">
        <f>'[1]C LC'!G15</f>
        <v>2499.1346153846152</v>
      </c>
      <c r="F119" s="30"/>
      <c r="G119" s="30">
        <f>'[1]C LC'!M15</f>
        <v>260</v>
      </c>
      <c r="H119" s="30">
        <f>'[1]C LC'!R15</f>
        <v>12.75</v>
      </c>
      <c r="I119" s="30">
        <f>'[1]C LC'!W15</f>
        <v>4200</v>
      </c>
      <c r="J119" s="30">
        <f>SUM(E119:I119)</f>
        <v>6971.884615384615</v>
      </c>
      <c r="K119" s="41"/>
      <c r="L119" s="41"/>
      <c r="M119" s="41"/>
      <c r="N119" s="41"/>
      <c r="O119" s="41"/>
      <c r="P119" s="41"/>
      <c r="Q119" s="62"/>
      <c r="R119" s="112"/>
      <c r="S119" s="112"/>
      <c r="T119" s="112"/>
      <c r="U119" s="112"/>
      <c r="V119" s="112"/>
      <c r="W119" s="112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</row>
    <row r="120" spans="1:77" ht="15">
      <c r="A120" s="296">
        <v>77</v>
      </c>
      <c r="B120" s="296"/>
      <c r="C120" s="33" t="s">
        <v>128</v>
      </c>
      <c r="D120" s="33"/>
      <c r="E120" s="61">
        <f>'[1]C SC'!G15</f>
        <v>2499.1346153846152</v>
      </c>
      <c r="F120" s="30"/>
      <c r="G120" s="30">
        <f>'[1]C SC'!M15</f>
        <v>980</v>
      </c>
      <c r="H120" s="30">
        <f>'[1]C SC'!R15</f>
        <v>1766.4</v>
      </c>
      <c r="I120" s="30">
        <f>'[1]C SC'!W15</f>
        <v>2100</v>
      </c>
      <c r="J120" s="30">
        <f>SUM(E120:I120)</f>
        <v>7345.534615384615</v>
      </c>
      <c r="K120" s="41"/>
      <c r="L120" s="41"/>
      <c r="M120" s="41"/>
      <c r="N120" s="41"/>
      <c r="O120" s="41"/>
      <c r="P120" s="41"/>
      <c r="Q120" s="62"/>
      <c r="R120" s="112"/>
      <c r="S120" s="112"/>
      <c r="T120" s="112"/>
      <c r="U120" s="112"/>
      <c r="V120" s="112"/>
      <c r="W120" s="112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</row>
    <row r="121" spans="1:77" ht="15">
      <c r="A121" s="287"/>
      <c r="B121" s="287"/>
      <c r="C121" s="33"/>
      <c r="D121" s="33"/>
      <c r="E121" s="61"/>
      <c r="F121" s="30"/>
      <c r="G121" s="30"/>
      <c r="H121" s="30"/>
      <c r="I121" s="30"/>
      <c r="J121" s="30"/>
      <c r="K121" s="41"/>
      <c r="L121" s="41"/>
      <c r="M121" s="41"/>
      <c r="N121" s="41"/>
      <c r="O121" s="41"/>
      <c r="P121" s="41"/>
      <c r="Q121" s="62"/>
      <c r="R121" s="112"/>
      <c r="S121" s="112"/>
      <c r="T121" s="112"/>
      <c r="U121" s="112"/>
      <c r="V121" s="112"/>
      <c r="W121" s="112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</row>
    <row r="122" spans="1:77" s="150" customFormat="1" ht="12.75">
      <c r="A122" s="145" t="s">
        <v>129</v>
      </c>
      <c r="B122" s="344" t="s">
        <v>130</v>
      </c>
      <c r="C122" s="291" t="s">
        <v>130</v>
      </c>
      <c r="D122" s="146"/>
      <c r="E122" s="145"/>
      <c r="F122" s="145"/>
      <c r="G122" s="145"/>
      <c r="H122" s="145"/>
      <c r="I122" s="145"/>
      <c r="J122" s="145"/>
      <c r="K122" s="280"/>
      <c r="L122" s="280"/>
      <c r="M122" s="280"/>
      <c r="N122" s="281"/>
      <c r="O122" s="282"/>
      <c r="P122" s="283"/>
      <c r="Q122" s="283"/>
      <c r="R122" s="280"/>
      <c r="S122" s="280"/>
      <c r="T122" s="283"/>
      <c r="U122" s="280"/>
      <c r="V122" s="283"/>
      <c r="W122" s="280"/>
      <c r="X122" s="283"/>
      <c r="Y122" s="280"/>
      <c r="Z122" s="283"/>
      <c r="AA122" s="280"/>
      <c r="AB122" s="283"/>
      <c r="AC122" s="280"/>
      <c r="AD122" s="283"/>
      <c r="AE122" s="280"/>
      <c r="AF122" s="283"/>
      <c r="AG122" s="280"/>
      <c r="AH122" s="283"/>
      <c r="AI122" s="280"/>
      <c r="AJ122" s="280"/>
      <c r="AK122" s="280"/>
      <c r="AL122" s="280"/>
      <c r="AM122" s="280"/>
      <c r="AN122" s="280"/>
      <c r="AO122" s="280"/>
      <c r="AP122" s="280"/>
      <c r="AQ122" s="280"/>
      <c r="AR122" s="280"/>
      <c r="AS122" s="280"/>
      <c r="AT122" s="280"/>
      <c r="AU122" s="280"/>
      <c r="AV122" s="280"/>
      <c r="AW122" s="280"/>
      <c r="AX122" s="280"/>
      <c r="AY122" s="280"/>
      <c r="AZ122" s="280"/>
      <c r="BA122" s="280"/>
      <c r="BB122" s="280"/>
      <c r="BC122" s="280"/>
      <c r="BD122" s="280"/>
      <c r="BE122" s="280"/>
      <c r="BF122" s="280"/>
      <c r="BG122" s="280"/>
      <c r="BH122" s="280"/>
      <c r="BI122" s="280"/>
      <c r="BJ122" s="280"/>
      <c r="BK122" s="280"/>
      <c r="BL122" s="280"/>
      <c r="BM122" s="280"/>
      <c r="BN122" s="280"/>
      <c r="BO122" s="280"/>
      <c r="BP122" s="280"/>
      <c r="BQ122" s="280"/>
      <c r="BR122" s="280"/>
      <c r="BS122" s="280"/>
      <c r="BT122" s="280"/>
      <c r="BU122" s="280"/>
      <c r="BV122" s="280"/>
      <c r="BW122" s="280"/>
      <c r="BX122" s="280"/>
      <c r="BY122" s="280"/>
    </row>
    <row r="123" spans="1:77" s="233" customFormat="1" ht="26.25">
      <c r="A123" s="229">
        <v>78</v>
      </c>
      <c r="B123" s="345" t="s">
        <v>131</v>
      </c>
      <c r="C123" s="249" t="s">
        <v>131</v>
      </c>
      <c r="D123" s="236" t="s">
        <v>40</v>
      </c>
      <c r="E123" s="229"/>
      <c r="F123" s="229"/>
      <c r="G123" s="229"/>
      <c r="H123" s="229"/>
      <c r="I123" s="229"/>
      <c r="J123" s="229"/>
      <c r="K123" s="275"/>
      <c r="L123" s="275"/>
      <c r="M123" s="275"/>
      <c r="N123" s="276"/>
      <c r="O123" s="277"/>
      <c r="P123" s="278"/>
      <c r="Q123" s="278"/>
      <c r="R123" s="275"/>
      <c r="S123" s="275"/>
      <c r="T123" s="278"/>
      <c r="U123" s="275"/>
      <c r="V123" s="278"/>
      <c r="W123" s="275"/>
      <c r="X123" s="278"/>
      <c r="Y123" s="275"/>
      <c r="Z123" s="278"/>
      <c r="AA123" s="275"/>
      <c r="AB123" s="278"/>
      <c r="AC123" s="275"/>
      <c r="AD123" s="278"/>
      <c r="AE123" s="275"/>
      <c r="AF123" s="278"/>
      <c r="AG123" s="275"/>
      <c r="AH123" s="278"/>
      <c r="AI123" s="275"/>
      <c r="AJ123" s="275"/>
      <c r="AK123" s="275"/>
      <c r="AL123" s="275"/>
      <c r="AM123" s="275"/>
      <c r="AN123" s="275"/>
      <c r="AO123" s="275"/>
      <c r="AP123" s="275"/>
      <c r="AQ123" s="275"/>
      <c r="AR123" s="275"/>
      <c r="AS123" s="275"/>
      <c r="AT123" s="275"/>
      <c r="AU123" s="275"/>
      <c r="AV123" s="275"/>
      <c r="AW123" s="275"/>
      <c r="AX123" s="275"/>
      <c r="AY123" s="275"/>
      <c r="AZ123" s="275"/>
      <c r="BA123" s="275"/>
      <c r="BB123" s="275"/>
      <c r="BC123" s="275"/>
      <c r="BD123" s="275"/>
      <c r="BE123" s="275"/>
      <c r="BF123" s="275"/>
      <c r="BG123" s="275"/>
      <c r="BH123" s="275"/>
      <c r="BI123" s="275"/>
      <c r="BJ123" s="275"/>
      <c r="BK123" s="275"/>
      <c r="BL123" s="275"/>
      <c r="BM123" s="275"/>
      <c r="BN123" s="275"/>
      <c r="BO123" s="275"/>
      <c r="BP123" s="275"/>
      <c r="BQ123" s="275"/>
      <c r="BR123" s="275"/>
      <c r="BS123" s="275"/>
      <c r="BT123" s="275"/>
      <c r="BU123" s="275"/>
      <c r="BV123" s="275"/>
      <c r="BW123" s="275"/>
      <c r="BX123" s="275"/>
      <c r="BY123" s="275"/>
    </row>
    <row r="124" spans="1:77" s="233" customFormat="1" ht="26.25">
      <c r="A124" s="229">
        <v>79</v>
      </c>
      <c r="B124" s="345" t="s">
        <v>132</v>
      </c>
      <c r="C124" s="249" t="s">
        <v>132</v>
      </c>
      <c r="D124" s="236" t="s">
        <v>40</v>
      </c>
      <c r="E124" s="229"/>
      <c r="F124" s="229"/>
      <c r="G124" s="229"/>
      <c r="H124" s="229"/>
      <c r="I124" s="229"/>
      <c r="J124" s="229"/>
      <c r="K124" s="275"/>
      <c r="L124" s="275"/>
      <c r="M124" s="275"/>
      <c r="N124" s="276"/>
      <c r="O124" s="277"/>
      <c r="P124" s="278"/>
      <c r="Q124" s="278"/>
      <c r="R124" s="275"/>
      <c r="S124" s="275"/>
      <c r="T124" s="278"/>
      <c r="U124" s="275"/>
      <c r="V124" s="278"/>
      <c r="W124" s="275"/>
      <c r="X124" s="278"/>
      <c r="Y124" s="275"/>
      <c r="Z124" s="278"/>
      <c r="AA124" s="275"/>
      <c r="AB124" s="278"/>
      <c r="AC124" s="275"/>
      <c r="AD124" s="278"/>
      <c r="AE124" s="275"/>
      <c r="AF124" s="278"/>
      <c r="AG124" s="275"/>
      <c r="AH124" s="278"/>
      <c r="AI124" s="275"/>
      <c r="AJ124" s="275"/>
      <c r="AK124" s="275"/>
      <c r="AL124" s="275"/>
      <c r="AM124" s="275"/>
      <c r="AN124" s="275"/>
      <c r="AO124" s="275"/>
      <c r="AP124" s="275"/>
      <c r="AQ124" s="275"/>
      <c r="AR124" s="275"/>
      <c r="AS124" s="275"/>
      <c r="AT124" s="275"/>
      <c r="AU124" s="275"/>
      <c r="AV124" s="275"/>
      <c r="AW124" s="275"/>
      <c r="AX124" s="275"/>
      <c r="AY124" s="275"/>
      <c r="AZ124" s="275"/>
      <c r="BA124" s="275"/>
      <c r="BB124" s="275"/>
      <c r="BC124" s="275"/>
      <c r="BD124" s="275"/>
      <c r="BE124" s="275"/>
      <c r="BF124" s="275"/>
      <c r="BG124" s="275"/>
      <c r="BH124" s="275"/>
      <c r="BI124" s="275"/>
      <c r="BJ124" s="275"/>
      <c r="BK124" s="275"/>
      <c r="BL124" s="275"/>
      <c r="BM124" s="275"/>
      <c r="BN124" s="275"/>
      <c r="BO124" s="275"/>
      <c r="BP124" s="275"/>
      <c r="BQ124" s="275"/>
      <c r="BR124" s="275"/>
      <c r="BS124" s="275"/>
      <c r="BT124" s="275"/>
      <c r="BU124" s="275"/>
      <c r="BV124" s="275"/>
      <c r="BW124" s="275"/>
      <c r="BX124" s="275"/>
      <c r="BY124" s="275"/>
    </row>
    <row r="125" spans="1:77" s="48" customFormat="1" ht="15">
      <c r="A125" s="45">
        <v>80</v>
      </c>
      <c r="B125" s="345" t="s">
        <v>133</v>
      </c>
      <c r="C125" s="100" t="s">
        <v>133</v>
      </c>
      <c r="D125" s="44" t="s">
        <v>134</v>
      </c>
      <c r="E125" s="45"/>
      <c r="F125" s="45"/>
      <c r="G125" s="45"/>
      <c r="H125" s="45"/>
      <c r="I125" s="45"/>
      <c r="J125" s="45">
        <v>6500</v>
      </c>
      <c r="K125" s="51"/>
      <c r="L125" s="51"/>
      <c r="M125" s="51"/>
      <c r="N125" s="279"/>
      <c r="O125" s="264"/>
      <c r="P125" s="219"/>
      <c r="Q125" s="219"/>
      <c r="R125" s="51"/>
      <c r="S125" s="51"/>
      <c r="T125" s="219"/>
      <c r="U125" s="51"/>
      <c r="V125" s="219"/>
      <c r="W125" s="51"/>
      <c r="X125" s="219"/>
      <c r="Y125" s="51"/>
      <c r="Z125" s="219"/>
      <c r="AA125" s="51"/>
      <c r="AB125" s="219"/>
      <c r="AC125" s="51"/>
      <c r="AD125" s="219"/>
      <c r="AE125" s="51"/>
      <c r="AF125" s="219"/>
      <c r="AG125" s="51"/>
      <c r="AH125" s="219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</row>
    <row r="126" spans="1:77" s="48" customFormat="1" ht="15">
      <c r="A126" s="45">
        <v>81</v>
      </c>
      <c r="B126" s="345" t="s">
        <v>135</v>
      </c>
      <c r="C126" s="100" t="s">
        <v>135</v>
      </c>
      <c r="D126" s="44" t="s">
        <v>134</v>
      </c>
      <c r="E126" s="45"/>
      <c r="F126" s="45"/>
      <c r="G126" s="45"/>
      <c r="H126" s="45"/>
      <c r="I126" s="45"/>
      <c r="J126" s="45">
        <v>6500</v>
      </c>
      <c r="K126" s="51"/>
      <c r="L126" s="51"/>
      <c r="M126" s="51"/>
      <c r="N126" s="279"/>
      <c r="O126" s="264"/>
      <c r="P126" s="219"/>
      <c r="Q126" s="219"/>
      <c r="R126" s="51"/>
      <c r="S126" s="51"/>
      <c r="T126" s="219"/>
      <c r="U126" s="51"/>
      <c r="V126" s="219"/>
      <c r="W126" s="51"/>
      <c r="X126" s="219"/>
      <c r="Y126" s="51"/>
      <c r="Z126" s="219"/>
      <c r="AA126" s="51"/>
      <c r="AB126" s="219"/>
      <c r="AC126" s="51"/>
      <c r="AD126" s="219"/>
      <c r="AE126" s="51"/>
      <c r="AF126" s="219"/>
      <c r="AG126" s="51"/>
      <c r="AH126" s="219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</row>
    <row r="127" spans="1:77" s="48" customFormat="1" ht="15">
      <c r="A127" s="45">
        <v>82</v>
      </c>
      <c r="B127" s="345" t="s">
        <v>136</v>
      </c>
      <c r="C127" s="100" t="s">
        <v>136</v>
      </c>
      <c r="D127" s="44" t="s">
        <v>134</v>
      </c>
      <c r="E127" s="45"/>
      <c r="F127" s="45"/>
      <c r="G127" s="45"/>
      <c r="H127" s="45"/>
      <c r="I127" s="45"/>
      <c r="J127" s="45">
        <v>6500</v>
      </c>
      <c r="K127" s="51"/>
      <c r="L127" s="51"/>
      <c r="M127" s="51"/>
      <c r="N127" s="279"/>
      <c r="O127" s="264"/>
      <c r="P127" s="219"/>
      <c r="Q127" s="219"/>
      <c r="R127" s="51"/>
      <c r="S127" s="51"/>
      <c r="T127" s="219"/>
      <c r="U127" s="51"/>
      <c r="V127" s="219"/>
      <c r="W127" s="51"/>
      <c r="X127" s="219"/>
      <c r="Y127" s="51"/>
      <c r="Z127" s="219"/>
      <c r="AA127" s="51"/>
      <c r="AB127" s="219"/>
      <c r="AC127" s="51"/>
      <c r="AD127" s="219"/>
      <c r="AE127" s="51"/>
      <c r="AF127" s="219"/>
      <c r="AG127" s="51"/>
      <c r="AH127" s="219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</row>
    <row r="128" spans="1:77" s="233" customFormat="1" ht="15">
      <c r="A128" s="229">
        <v>83</v>
      </c>
      <c r="B128" s="345" t="s">
        <v>137</v>
      </c>
      <c r="C128" s="249" t="s">
        <v>137</v>
      </c>
      <c r="D128" s="236" t="s">
        <v>134</v>
      </c>
      <c r="E128" s="229"/>
      <c r="F128" s="229"/>
      <c r="G128" s="229"/>
      <c r="H128" s="229"/>
      <c r="I128" s="229"/>
      <c r="J128" s="229"/>
      <c r="K128" s="275"/>
      <c r="L128" s="275"/>
      <c r="M128" s="275"/>
      <c r="N128" s="276"/>
      <c r="O128" s="277"/>
      <c r="P128" s="278"/>
      <c r="Q128" s="278"/>
      <c r="R128" s="275"/>
      <c r="S128" s="275"/>
      <c r="T128" s="278"/>
      <c r="U128" s="275"/>
      <c r="V128" s="278"/>
      <c r="W128" s="275"/>
      <c r="X128" s="278"/>
      <c r="Y128" s="275"/>
      <c r="Z128" s="278"/>
      <c r="AA128" s="275"/>
      <c r="AB128" s="278"/>
      <c r="AC128" s="275"/>
      <c r="AD128" s="278"/>
      <c r="AE128" s="275"/>
      <c r="AF128" s="278"/>
      <c r="AG128" s="275"/>
      <c r="AH128" s="278"/>
      <c r="AI128" s="275"/>
      <c r="AJ128" s="275"/>
      <c r="AK128" s="275"/>
      <c r="AL128" s="275"/>
      <c r="AM128" s="275"/>
      <c r="AN128" s="275"/>
      <c r="AO128" s="275"/>
      <c r="AP128" s="275"/>
      <c r="AQ128" s="275"/>
      <c r="AR128" s="275"/>
      <c r="AS128" s="275"/>
      <c r="AT128" s="275"/>
      <c r="AU128" s="275"/>
      <c r="AV128" s="275"/>
      <c r="AW128" s="275"/>
      <c r="AX128" s="275"/>
      <c r="AY128" s="275"/>
      <c r="AZ128" s="275"/>
      <c r="BA128" s="275"/>
      <c r="BB128" s="275"/>
      <c r="BC128" s="275"/>
      <c r="BD128" s="275"/>
      <c r="BE128" s="275"/>
      <c r="BF128" s="275"/>
      <c r="BG128" s="275"/>
      <c r="BH128" s="275"/>
      <c r="BI128" s="275"/>
      <c r="BJ128" s="275"/>
      <c r="BK128" s="275"/>
      <c r="BL128" s="275"/>
      <c r="BM128" s="275"/>
      <c r="BN128" s="275"/>
      <c r="BO128" s="275"/>
      <c r="BP128" s="275"/>
      <c r="BQ128" s="275"/>
      <c r="BR128" s="275"/>
      <c r="BS128" s="275"/>
      <c r="BT128" s="275"/>
      <c r="BU128" s="275"/>
      <c r="BV128" s="275"/>
      <c r="BW128" s="275"/>
      <c r="BX128" s="275"/>
      <c r="BY128" s="275"/>
    </row>
    <row r="129" spans="1:77" s="233" customFormat="1" ht="15">
      <c r="A129" s="229">
        <v>84</v>
      </c>
      <c r="B129" s="345" t="s">
        <v>138</v>
      </c>
      <c r="C129" s="249" t="s">
        <v>138</v>
      </c>
      <c r="D129" s="236" t="s">
        <v>134</v>
      </c>
      <c r="E129" s="229"/>
      <c r="F129" s="229"/>
      <c r="G129" s="229"/>
      <c r="H129" s="229"/>
      <c r="I129" s="229"/>
      <c r="J129" s="229"/>
      <c r="K129" s="275"/>
      <c r="L129" s="275"/>
      <c r="M129" s="275"/>
      <c r="N129" s="276"/>
      <c r="O129" s="277"/>
      <c r="P129" s="278"/>
      <c r="Q129" s="278"/>
      <c r="R129" s="275"/>
      <c r="S129" s="275"/>
      <c r="T129" s="278"/>
      <c r="U129" s="275"/>
      <c r="V129" s="278"/>
      <c r="W129" s="275"/>
      <c r="X129" s="278"/>
      <c r="Y129" s="275"/>
      <c r="Z129" s="278"/>
      <c r="AA129" s="275"/>
      <c r="AB129" s="278"/>
      <c r="AC129" s="275"/>
      <c r="AD129" s="278"/>
      <c r="AE129" s="275"/>
      <c r="AF129" s="278"/>
      <c r="AG129" s="275"/>
      <c r="AH129" s="278"/>
      <c r="AI129" s="275"/>
      <c r="AJ129" s="275"/>
      <c r="AK129" s="275"/>
      <c r="AL129" s="275"/>
      <c r="AM129" s="275"/>
      <c r="AN129" s="275"/>
      <c r="AO129" s="275"/>
      <c r="AP129" s="275"/>
      <c r="AQ129" s="275"/>
      <c r="AR129" s="275"/>
      <c r="AS129" s="275"/>
      <c r="AT129" s="275"/>
      <c r="AU129" s="275"/>
      <c r="AV129" s="275"/>
      <c r="AW129" s="275"/>
      <c r="AX129" s="275"/>
      <c r="AY129" s="275"/>
      <c r="AZ129" s="275"/>
      <c r="BA129" s="275"/>
      <c r="BB129" s="275"/>
      <c r="BC129" s="275"/>
      <c r="BD129" s="275"/>
      <c r="BE129" s="275"/>
      <c r="BF129" s="275"/>
      <c r="BG129" s="275"/>
      <c r="BH129" s="275"/>
      <c r="BI129" s="275"/>
      <c r="BJ129" s="275"/>
      <c r="BK129" s="275"/>
      <c r="BL129" s="275"/>
      <c r="BM129" s="275"/>
      <c r="BN129" s="275"/>
      <c r="BO129" s="275"/>
      <c r="BP129" s="275"/>
      <c r="BQ129" s="275"/>
      <c r="BR129" s="275"/>
      <c r="BS129" s="275"/>
      <c r="BT129" s="275"/>
      <c r="BU129" s="275"/>
      <c r="BV129" s="275"/>
      <c r="BW129" s="275"/>
      <c r="BX129" s="275"/>
      <c r="BY129" s="275"/>
    </row>
    <row r="130" spans="1:77" s="162" customFormat="1" ht="15">
      <c r="A130" s="210"/>
      <c r="B130" s="210"/>
      <c r="C130" s="323"/>
      <c r="D130" s="324"/>
      <c r="E130" s="210"/>
      <c r="F130" s="210"/>
      <c r="G130" s="210"/>
      <c r="H130" s="210"/>
      <c r="I130" s="210"/>
      <c r="J130" s="210"/>
      <c r="K130" s="158"/>
      <c r="L130" s="158"/>
      <c r="M130" s="158"/>
      <c r="N130" s="159"/>
      <c r="O130" s="160"/>
      <c r="P130" s="161"/>
      <c r="Q130" s="161"/>
      <c r="R130" s="158"/>
      <c r="S130" s="158"/>
      <c r="T130" s="161"/>
      <c r="U130" s="158"/>
      <c r="V130" s="161"/>
      <c r="W130" s="158"/>
      <c r="X130" s="161"/>
      <c r="Y130" s="158"/>
      <c r="Z130" s="161"/>
      <c r="AA130" s="158"/>
      <c r="AB130" s="161"/>
      <c r="AC130" s="158"/>
      <c r="AD130" s="161"/>
      <c r="AE130" s="158"/>
      <c r="AF130" s="161"/>
      <c r="AG130" s="158"/>
      <c r="AH130" s="161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</row>
    <row r="131" spans="1:77" ht="15">
      <c r="A131" s="291" t="s">
        <v>129</v>
      </c>
      <c r="B131" s="341" t="s">
        <v>139</v>
      </c>
      <c r="C131" s="291" t="s">
        <v>139</v>
      </c>
      <c r="D131" s="291"/>
      <c r="E131" s="309"/>
      <c r="F131" s="292"/>
      <c r="G131" s="292"/>
      <c r="H131" s="292"/>
      <c r="I131" s="292"/>
      <c r="J131" s="292"/>
      <c r="K131" s="41"/>
      <c r="L131" s="41"/>
      <c r="M131" s="41"/>
      <c r="N131" s="41"/>
      <c r="O131" s="41"/>
      <c r="P131" s="41"/>
      <c r="Q131" s="62"/>
      <c r="R131" s="112"/>
      <c r="S131" s="112"/>
      <c r="T131" s="112"/>
      <c r="U131" s="112"/>
      <c r="V131" s="112"/>
      <c r="W131" s="112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</row>
    <row r="132" spans="1:77" s="20" customFormat="1" ht="15">
      <c r="A132" s="294">
        <v>85</v>
      </c>
      <c r="B132" s="164" t="s">
        <v>140</v>
      </c>
      <c r="C132" s="119" t="s">
        <v>140</v>
      </c>
      <c r="D132" s="294"/>
      <c r="E132" s="303"/>
      <c r="F132" s="304"/>
      <c r="G132" s="304"/>
      <c r="H132" s="304"/>
      <c r="I132" s="304"/>
      <c r="J132" s="304"/>
      <c r="K132" s="70"/>
      <c r="L132" s="70"/>
      <c r="M132" s="70"/>
      <c r="N132" s="70"/>
      <c r="O132" s="70"/>
      <c r="P132" s="70"/>
      <c r="Q132" s="71"/>
      <c r="R132" s="271"/>
      <c r="S132" s="271"/>
      <c r="T132" s="271"/>
      <c r="U132" s="271"/>
      <c r="V132" s="271"/>
      <c r="W132" s="271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</row>
    <row r="133" spans="1:77" s="20" customFormat="1" ht="15">
      <c r="A133" s="294">
        <v>86</v>
      </c>
      <c r="B133" s="164" t="s">
        <v>141</v>
      </c>
      <c r="C133" s="119" t="s">
        <v>141</v>
      </c>
      <c r="D133" s="294"/>
      <c r="E133" s="303"/>
      <c r="F133" s="304"/>
      <c r="G133" s="304"/>
      <c r="H133" s="304"/>
      <c r="I133" s="304"/>
      <c r="J133" s="304"/>
      <c r="K133" s="70"/>
      <c r="L133" s="70"/>
      <c r="M133" s="70"/>
      <c r="N133" s="70"/>
      <c r="O133" s="70"/>
      <c r="P133" s="70"/>
      <c r="Q133" s="71"/>
      <c r="R133" s="271"/>
      <c r="S133" s="271"/>
      <c r="T133" s="271"/>
      <c r="U133" s="271"/>
      <c r="V133" s="271"/>
      <c r="W133" s="271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</row>
    <row r="134" spans="1:77" s="20" customFormat="1" ht="15">
      <c r="A134" s="294">
        <v>87</v>
      </c>
      <c r="B134" s="164" t="s">
        <v>142</v>
      </c>
      <c r="C134" s="119" t="s">
        <v>142</v>
      </c>
      <c r="D134" s="294"/>
      <c r="E134" s="303"/>
      <c r="F134" s="304"/>
      <c r="G134" s="304"/>
      <c r="H134" s="304"/>
      <c r="I134" s="304"/>
      <c r="J134" s="304"/>
      <c r="K134" s="70"/>
      <c r="L134" s="70"/>
      <c r="M134" s="70"/>
      <c r="N134" s="70"/>
      <c r="O134" s="70"/>
      <c r="P134" s="70"/>
      <c r="Q134" s="71"/>
      <c r="R134" s="271"/>
      <c r="S134" s="271"/>
      <c r="T134" s="271"/>
      <c r="U134" s="271"/>
      <c r="V134" s="271"/>
      <c r="W134" s="271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</row>
    <row r="135" spans="1:77" ht="15">
      <c r="A135" s="287">
        <v>88</v>
      </c>
      <c r="B135" s="164" t="s">
        <v>143</v>
      </c>
      <c r="C135" s="164" t="s">
        <v>143</v>
      </c>
      <c r="D135" s="33"/>
      <c r="E135" s="61">
        <f>'[1]B BRE'!G18</f>
        <v>126.81810897435898</v>
      </c>
      <c r="F135" s="30">
        <f>'[1]B BRE'!K18</f>
        <v>9.79524</v>
      </c>
      <c r="G135" s="30"/>
      <c r="H135" s="30">
        <f>'[1]B BRE'!R18</f>
        <v>59.29200000000001</v>
      </c>
      <c r="I135" s="30">
        <f>'[1]B BRE'!W18</f>
        <v>90</v>
      </c>
      <c r="J135" s="30">
        <f>SUM(E135:I135)</f>
        <v>285.90534897435896</v>
      </c>
      <c r="K135" s="41"/>
      <c r="L135" s="41"/>
      <c r="M135" s="41"/>
      <c r="N135" s="41"/>
      <c r="O135" s="41"/>
      <c r="P135" s="41"/>
      <c r="Q135" s="62"/>
      <c r="R135" s="112"/>
      <c r="S135" s="112"/>
      <c r="T135" s="112"/>
      <c r="U135" s="112"/>
      <c r="V135" s="112"/>
      <c r="W135" s="112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</row>
    <row r="136" spans="1:77" ht="15">
      <c r="A136" s="287">
        <v>89</v>
      </c>
      <c r="B136" s="287"/>
      <c r="C136" s="33" t="s">
        <v>144</v>
      </c>
      <c r="D136" s="33"/>
      <c r="E136" s="61">
        <f>'[1]B CB'!G21</f>
        <v>412.1266025641026</v>
      </c>
      <c r="F136" s="30">
        <f>'[1]B CB'!K21</f>
        <v>550.14305</v>
      </c>
      <c r="G136" s="30">
        <f>'[1]B CB'!M21</f>
        <v>20</v>
      </c>
      <c r="H136" s="30">
        <f>'[1]B CB'!R21</f>
        <v>130.44400000000002</v>
      </c>
      <c r="I136" s="30">
        <f>'[1]B CB'!W21</f>
        <v>3490</v>
      </c>
      <c r="J136" s="30">
        <f>SUM(E136:I136)</f>
        <v>4602.713652564103</v>
      </c>
      <c r="K136" s="41"/>
      <c r="L136" s="41"/>
      <c r="M136" s="41"/>
      <c r="N136" s="41"/>
      <c r="O136" s="41"/>
      <c r="P136" s="41"/>
      <c r="Q136" s="62"/>
      <c r="R136" s="112"/>
      <c r="S136" s="112"/>
      <c r="T136" s="112"/>
      <c r="U136" s="112"/>
      <c r="V136" s="112"/>
      <c r="W136" s="112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</row>
    <row r="137" spans="1:77" ht="15">
      <c r="A137" s="287"/>
      <c r="B137" s="287"/>
      <c r="C137" s="287"/>
      <c r="D137" s="287"/>
      <c r="E137" s="290"/>
      <c r="F137" s="290"/>
      <c r="G137" s="290"/>
      <c r="H137" s="290"/>
      <c r="I137" s="290"/>
      <c r="J137" s="287"/>
      <c r="K137" s="41"/>
      <c r="L137" s="41"/>
      <c r="M137" s="41"/>
      <c r="N137" s="41"/>
      <c r="O137" s="41"/>
      <c r="P137" s="41"/>
      <c r="Q137" s="62"/>
      <c r="R137" s="112"/>
      <c r="S137" s="112"/>
      <c r="T137" s="112"/>
      <c r="U137" s="112"/>
      <c r="V137" s="112"/>
      <c r="W137" s="112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</row>
    <row r="138" spans="1:77" ht="15">
      <c r="A138" s="291" t="s">
        <v>145</v>
      </c>
      <c r="B138" s="341" t="s">
        <v>274</v>
      </c>
      <c r="C138" s="291" t="s">
        <v>146</v>
      </c>
      <c r="D138" s="291"/>
      <c r="E138" s="309"/>
      <c r="F138" s="292"/>
      <c r="G138" s="292"/>
      <c r="H138" s="292"/>
      <c r="I138" s="292"/>
      <c r="J138" s="292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</row>
    <row r="139" spans="1:77" s="20" customFormat="1" ht="15">
      <c r="A139" s="93">
        <v>90</v>
      </c>
      <c r="B139" s="164" t="s">
        <v>275</v>
      </c>
      <c r="C139" s="100" t="s">
        <v>147</v>
      </c>
      <c r="D139" s="100"/>
      <c r="E139" s="114">
        <f>2.37*262.016369047619</f>
        <v>620.978794642857</v>
      </c>
      <c r="F139" s="115">
        <f>35*2.37</f>
        <v>82.95</v>
      </c>
      <c r="G139" s="115">
        <v>237</v>
      </c>
      <c r="H139" s="115">
        <f>88.675*2.37</f>
        <v>210.15975</v>
      </c>
      <c r="I139" s="115">
        <f>2.37*110.486461772321</f>
        <v>261.8529144004008</v>
      </c>
      <c r="J139" s="30">
        <f>SUM(E139:I139)</f>
        <v>1412.9414590432577</v>
      </c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</row>
    <row r="140" spans="1:77" s="20" customFormat="1" ht="15">
      <c r="A140" s="93">
        <v>91</v>
      </c>
      <c r="B140" s="342" t="s">
        <v>276</v>
      </c>
      <c r="C140" s="100" t="s">
        <v>148</v>
      </c>
      <c r="D140" s="100"/>
      <c r="E140" s="114">
        <f>2.37*524.032738095238</f>
        <v>1241.957589285714</v>
      </c>
      <c r="F140" s="115">
        <f>2.37*40</f>
        <v>94.80000000000001</v>
      </c>
      <c r="G140" s="115">
        <f>2.37*200</f>
        <v>474</v>
      </c>
      <c r="H140" s="115">
        <f>2.37*383.075</f>
        <v>907.88775</v>
      </c>
      <c r="I140" s="115">
        <f>2.37*276.216154430802</f>
        <v>654.6322860010008</v>
      </c>
      <c r="J140" s="30">
        <f>SUM(E140:I140)</f>
        <v>3373.2776252867147</v>
      </c>
      <c r="K140" s="74"/>
      <c r="L140" s="74"/>
      <c r="M140" s="74"/>
      <c r="N140" s="74"/>
      <c r="O140" s="74"/>
      <c r="P140" s="74"/>
      <c r="Q140" s="74"/>
      <c r="R140" s="18"/>
      <c r="S140" s="19"/>
      <c r="T140" s="19"/>
      <c r="U140" s="19"/>
      <c r="V140" s="19"/>
      <c r="W140" s="19"/>
      <c r="X140" s="19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</row>
    <row r="141" spans="1:77" s="20" customFormat="1" ht="15">
      <c r="A141" s="93">
        <v>92</v>
      </c>
      <c r="B141" s="93"/>
      <c r="C141" s="100" t="s">
        <v>150</v>
      </c>
      <c r="D141" s="100"/>
      <c r="E141" s="114">
        <f>2.37*655.040922619048</f>
        <v>1552.446986607144</v>
      </c>
      <c r="F141" s="115">
        <f>2.37*35</f>
        <v>82.95</v>
      </c>
      <c r="G141" s="115">
        <f>2.37*200</f>
        <v>474</v>
      </c>
      <c r="H141" s="115">
        <f>2.37*191.491666666667</f>
        <v>453.83525000000077</v>
      </c>
      <c r="I141" s="115">
        <f>2.37*276.216154430802</f>
        <v>654.6322860010008</v>
      </c>
      <c r="J141" s="30">
        <f>SUM(E141:I141)</f>
        <v>3217.8645226081458</v>
      </c>
      <c r="K141" s="74"/>
      <c r="L141" s="74"/>
      <c r="M141" s="74"/>
      <c r="N141" s="74"/>
      <c r="O141" s="74"/>
      <c r="P141" s="74"/>
      <c r="Q141" s="74"/>
      <c r="R141" s="66"/>
      <c r="S141" s="66"/>
      <c r="T141" s="66"/>
      <c r="U141" s="66"/>
      <c r="V141" s="66"/>
      <c r="W141" s="66"/>
      <c r="X141" s="71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</row>
    <row r="142" spans="1:77" s="20" customFormat="1" ht="15">
      <c r="A142" s="93">
        <v>93</v>
      </c>
      <c r="B142" s="93"/>
      <c r="C142" s="100" t="s">
        <v>151</v>
      </c>
      <c r="D142" s="100"/>
      <c r="E142" s="114"/>
      <c r="F142" s="115"/>
      <c r="G142" s="115"/>
      <c r="H142" s="115"/>
      <c r="I142" s="115"/>
      <c r="J142" s="115"/>
      <c r="K142" s="74"/>
      <c r="L142" s="74"/>
      <c r="M142" s="74"/>
      <c r="N142" s="74"/>
      <c r="O142" s="74"/>
      <c r="P142" s="74"/>
      <c r="Q142" s="74"/>
      <c r="R142" s="71"/>
      <c r="S142" s="71"/>
      <c r="T142" s="71"/>
      <c r="U142" s="71"/>
      <c r="V142" s="71"/>
      <c r="W142" s="74"/>
      <c r="X142" s="71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</row>
    <row r="143" spans="1:77" ht="15">
      <c r="A143" s="287"/>
      <c r="B143" s="287"/>
      <c r="C143" s="287"/>
      <c r="D143" s="287"/>
      <c r="E143" s="312"/>
      <c r="F143" s="290"/>
      <c r="G143" s="290"/>
      <c r="H143" s="290"/>
      <c r="I143" s="290"/>
      <c r="J143" s="290"/>
      <c r="K143" s="41"/>
      <c r="L143" s="41"/>
      <c r="M143" s="41"/>
      <c r="N143" s="41"/>
      <c r="O143" s="41"/>
      <c r="P143" s="41"/>
      <c r="Q143" s="62"/>
      <c r="R143" s="112"/>
      <c r="S143" s="112"/>
      <c r="T143" s="112"/>
      <c r="U143" s="112"/>
      <c r="V143" s="112"/>
      <c r="W143" s="112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</row>
    <row r="144" spans="1:77" ht="15">
      <c r="A144" s="311" t="s">
        <v>152</v>
      </c>
      <c r="B144" s="341" t="s">
        <v>153</v>
      </c>
      <c r="C144" s="311" t="s">
        <v>153</v>
      </c>
      <c r="D144" s="287"/>
      <c r="E144" s="312"/>
      <c r="F144" s="290"/>
      <c r="G144" s="290"/>
      <c r="H144" s="290"/>
      <c r="I144" s="290"/>
      <c r="J144" s="290"/>
      <c r="K144" s="41"/>
      <c r="L144" s="41"/>
      <c r="M144" s="41"/>
      <c r="N144" s="41"/>
      <c r="O144" s="41"/>
      <c r="P144" s="41"/>
      <c r="Q144" s="62"/>
      <c r="R144" s="112"/>
      <c r="S144" s="112"/>
      <c r="T144" s="112"/>
      <c r="U144" s="112"/>
      <c r="V144" s="112"/>
      <c r="W144" s="112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</row>
    <row r="145" spans="1:77" ht="15">
      <c r="A145" s="287">
        <v>94</v>
      </c>
      <c r="B145" s="164" t="s">
        <v>154</v>
      </c>
      <c r="C145" s="175" t="s">
        <v>154</v>
      </c>
      <c r="D145" s="176" t="s">
        <v>40</v>
      </c>
      <c r="E145" s="312">
        <v>2779.166666666667</v>
      </c>
      <c r="F145" s="290">
        <v>1854.5833333333335</v>
      </c>
      <c r="G145" s="290">
        <v>2125</v>
      </c>
      <c r="H145" s="290">
        <v>333.08</v>
      </c>
      <c r="I145" s="290">
        <v>1832.9888553318763</v>
      </c>
      <c r="J145" s="30">
        <f>SUM(E145:I145)</f>
        <v>8924.818855331876</v>
      </c>
      <c r="K145" s="41"/>
      <c r="L145" s="41"/>
      <c r="M145" s="41"/>
      <c r="N145" s="41"/>
      <c r="O145" s="41"/>
      <c r="P145" s="41"/>
      <c r="Q145" s="62"/>
      <c r="R145" s="112"/>
      <c r="S145" s="112"/>
      <c r="T145" s="112"/>
      <c r="U145" s="112"/>
      <c r="V145" s="112"/>
      <c r="W145" s="112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</row>
    <row r="146" spans="1:77" ht="15">
      <c r="A146" s="287">
        <v>95</v>
      </c>
      <c r="B146" s="331" t="s">
        <v>277</v>
      </c>
      <c r="C146" s="325" t="s">
        <v>155</v>
      </c>
      <c r="D146" s="33"/>
      <c r="E146" s="326">
        <v>1824.7372581845239</v>
      </c>
      <c r="F146" s="326">
        <v>1854.5833333333335</v>
      </c>
      <c r="G146" s="30">
        <v>2125</v>
      </c>
      <c r="H146" s="30">
        <v>680.4000000000001</v>
      </c>
      <c r="I146" s="30">
        <v>2185.6360819022107</v>
      </c>
      <c r="J146" s="30">
        <f>SUM(E146:I146)</f>
        <v>8670.356673420067</v>
      </c>
      <c r="K146" s="41"/>
      <c r="L146" s="41"/>
      <c r="M146" s="41"/>
      <c r="N146" s="41"/>
      <c r="O146" s="41"/>
      <c r="P146" s="41"/>
      <c r="Q146" s="62"/>
      <c r="R146" s="112"/>
      <c r="S146" s="112"/>
      <c r="T146" s="112"/>
      <c r="U146" s="112"/>
      <c r="V146" s="112"/>
      <c r="W146" s="112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</row>
    <row r="147" spans="1:77" s="245" customFormat="1" ht="15">
      <c r="A147" s="313">
        <v>96</v>
      </c>
      <c r="B147" s="331" t="s">
        <v>156</v>
      </c>
      <c r="C147" s="238" t="s">
        <v>156</v>
      </c>
      <c r="D147" s="236" t="s">
        <v>134</v>
      </c>
      <c r="E147" s="316"/>
      <c r="F147" s="317"/>
      <c r="G147" s="317"/>
      <c r="H147" s="317"/>
      <c r="I147" s="317"/>
      <c r="J147" s="317"/>
      <c r="K147" s="246"/>
      <c r="L147" s="246"/>
      <c r="M147" s="246"/>
      <c r="N147" s="246"/>
      <c r="O147" s="246"/>
      <c r="P147" s="246"/>
      <c r="Q147" s="247"/>
      <c r="R147" s="274"/>
      <c r="S147" s="274"/>
      <c r="T147" s="274"/>
      <c r="U147" s="274"/>
      <c r="V147" s="274"/>
      <c r="W147" s="274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273"/>
      <c r="BA147" s="273"/>
      <c r="BB147" s="273"/>
      <c r="BC147" s="273"/>
      <c r="BD147" s="273"/>
      <c r="BE147" s="273"/>
      <c r="BF147" s="273"/>
      <c r="BG147" s="273"/>
      <c r="BH147" s="273"/>
      <c r="BI147" s="273"/>
      <c r="BJ147" s="273"/>
      <c r="BK147" s="273"/>
      <c r="BL147" s="273"/>
      <c r="BM147" s="273"/>
      <c r="BN147" s="273"/>
      <c r="BO147" s="273"/>
      <c r="BP147" s="273"/>
      <c r="BQ147" s="273"/>
      <c r="BR147" s="273"/>
      <c r="BS147" s="273"/>
      <c r="BT147" s="273"/>
      <c r="BU147" s="273"/>
      <c r="BV147" s="273"/>
      <c r="BW147" s="273"/>
      <c r="BX147" s="273"/>
      <c r="BY147" s="273"/>
    </row>
    <row r="148" spans="1:77" s="245" customFormat="1" ht="15">
      <c r="A148" s="313">
        <v>97</v>
      </c>
      <c r="B148" s="331" t="s">
        <v>157</v>
      </c>
      <c r="C148" s="238" t="s">
        <v>157</v>
      </c>
      <c r="D148" s="236" t="s">
        <v>40</v>
      </c>
      <c r="E148" s="316"/>
      <c r="F148" s="317"/>
      <c r="G148" s="317"/>
      <c r="H148" s="317"/>
      <c r="I148" s="317"/>
      <c r="J148" s="317"/>
      <c r="K148" s="246"/>
      <c r="L148" s="246"/>
      <c r="M148" s="246"/>
      <c r="N148" s="246"/>
      <c r="O148" s="246"/>
      <c r="P148" s="246"/>
      <c r="Q148" s="247"/>
      <c r="R148" s="274"/>
      <c r="S148" s="274"/>
      <c r="T148" s="274"/>
      <c r="U148" s="274"/>
      <c r="V148" s="274"/>
      <c r="W148" s="274"/>
      <c r="X148" s="273"/>
      <c r="Y148" s="273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273"/>
      <c r="AJ148" s="273"/>
      <c r="AK148" s="273"/>
      <c r="AL148" s="273"/>
      <c r="AM148" s="273"/>
      <c r="AN148" s="273"/>
      <c r="AO148" s="273"/>
      <c r="AP148" s="273"/>
      <c r="AQ148" s="273"/>
      <c r="AR148" s="273"/>
      <c r="AS148" s="273"/>
      <c r="AT148" s="273"/>
      <c r="AU148" s="273"/>
      <c r="AV148" s="273"/>
      <c r="AW148" s="273"/>
      <c r="AX148" s="273"/>
      <c r="AY148" s="273"/>
      <c r="AZ148" s="273"/>
      <c r="BA148" s="273"/>
      <c r="BB148" s="273"/>
      <c r="BC148" s="273"/>
      <c r="BD148" s="273"/>
      <c r="BE148" s="273"/>
      <c r="BF148" s="273"/>
      <c r="BG148" s="273"/>
      <c r="BH148" s="273"/>
      <c r="BI148" s="273"/>
      <c r="BJ148" s="273"/>
      <c r="BK148" s="273"/>
      <c r="BL148" s="273"/>
      <c r="BM148" s="273"/>
      <c r="BN148" s="273"/>
      <c r="BO148" s="273"/>
      <c r="BP148" s="273"/>
      <c r="BQ148" s="273"/>
      <c r="BR148" s="273"/>
      <c r="BS148" s="273"/>
      <c r="BT148" s="273"/>
      <c r="BU148" s="273"/>
      <c r="BV148" s="273"/>
      <c r="BW148" s="273"/>
      <c r="BX148" s="273"/>
      <c r="BY148" s="273"/>
    </row>
    <row r="149" spans="1:77" s="20" customFormat="1" ht="15">
      <c r="A149" s="93" t="s">
        <v>158</v>
      </c>
      <c r="B149" s="341" t="s">
        <v>159</v>
      </c>
      <c r="C149" s="327" t="s">
        <v>159</v>
      </c>
      <c r="D149" s="93"/>
      <c r="E149" s="328"/>
      <c r="F149" s="295"/>
      <c r="G149" s="295"/>
      <c r="H149" s="295"/>
      <c r="I149" s="295"/>
      <c r="J149" s="295"/>
      <c r="K149" s="70"/>
      <c r="L149" s="70"/>
      <c r="M149" s="70"/>
      <c r="N149" s="70"/>
      <c r="O149" s="70"/>
      <c r="P149" s="70"/>
      <c r="Q149" s="71"/>
      <c r="R149" s="271"/>
      <c r="S149" s="271"/>
      <c r="T149" s="271"/>
      <c r="U149" s="271"/>
      <c r="V149" s="271"/>
      <c r="W149" s="271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</row>
    <row r="150" spans="1:77" s="20" customFormat="1" ht="15">
      <c r="A150" s="93">
        <v>98</v>
      </c>
      <c r="B150" s="331" t="s">
        <v>160</v>
      </c>
      <c r="C150" s="185" t="s">
        <v>160</v>
      </c>
      <c r="D150" s="93"/>
      <c r="E150" s="328"/>
      <c r="F150" s="295"/>
      <c r="G150" s="295"/>
      <c r="H150" s="295"/>
      <c r="I150" s="295"/>
      <c r="J150" s="295"/>
      <c r="K150" s="70"/>
      <c r="L150" s="70"/>
      <c r="M150" s="70"/>
      <c r="N150" s="70"/>
      <c r="O150" s="70"/>
      <c r="P150" s="70"/>
      <c r="Q150" s="71"/>
      <c r="R150" s="271"/>
      <c r="S150" s="271"/>
      <c r="T150" s="271"/>
      <c r="U150" s="271"/>
      <c r="V150" s="271"/>
      <c r="W150" s="271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</row>
    <row r="151" spans="1:77" s="20" customFormat="1" ht="15">
      <c r="A151" s="93">
        <v>99</v>
      </c>
      <c r="B151" s="331" t="s">
        <v>161</v>
      </c>
      <c r="C151" s="185" t="s">
        <v>161</v>
      </c>
      <c r="D151" s="93"/>
      <c r="E151" s="328"/>
      <c r="F151" s="295"/>
      <c r="G151" s="295"/>
      <c r="H151" s="295"/>
      <c r="I151" s="295"/>
      <c r="J151" s="295"/>
      <c r="K151" s="70"/>
      <c r="L151" s="70"/>
      <c r="M151" s="70"/>
      <c r="N151" s="70"/>
      <c r="O151" s="70"/>
      <c r="P151" s="70"/>
      <c r="Q151" s="71"/>
      <c r="R151" s="271"/>
      <c r="S151" s="271"/>
      <c r="T151" s="271"/>
      <c r="U151" s="271"/>
      <c r="V151" s="271"/>
      <c r="W151" s="271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</row>
    <row r="152" spans="1:77" s="20" customFormat="1" ht="15">
      <c r="A152" s="93">
        <v>100</v>
      </c>
      <c r="B152" s="164" t="s">
        <v>142</v>
      </c>
      <c r="C152" s="186" t="s">
        <v>142</v>
      </c>
      <c r="D152" s="93"/>
      <c r="E152" s="328"/>
      <c r="F152" s="295"/>
      <c r="G152" s="295"/>
      <c r="H152" s="295"/>
      <c r="I152" s="295"/>
      <c r="J152" s="295">
        <v>200</v>
      </c>
      <c r="K152" s="70"/>
      <c r="L152" s="70"/>
      <c r="M152" s="70"/>
      <c r="N152" s="70"/>
      <c r="O152" s="70"/>
      <c r="P152" s="70"/>
      <c r="Q152" s="71"/>
      <c r="R152" s="271"/>
      <c r="S152" s="271"/>
      <c r="T152" s="271"/>
      <c r="U152" s="271"/>
      <c r="V152" s="271"/>
      <c r="W152" s="271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</row>
    <row r="153" spans="1:77" s="20" customFormat="1" ht="15">
      <c r="A153" s="93">
        <v>101</v>
      </c>
      <c r="B153" s="164" t="s">
        <v>162</v>
      </c>
      <c r="C153" s="186" t="s">
        <v>162</v>
      </c>
      <c r="D153" s="93"/>
      <c r="E153" s="328"/>
      <c r="F153" s="295"/>
      <c r="G153" s="295"/>
      <c r="H153" s="295"/>
      <c r="I153" s="295"/>
      <c r="J153" s="295"/>
      <c r="K153" s="70"/>
      <c r="L153" s="70"/>
      <c r="M153" s="70"/>
      <c r="N153" s="70"/>
      <c r="O153" s="70"/>
      <c r="P153" s="70"/>
      <c r="Q153" s="71"/>
      <c r="R153" s="271"/>
      <c r="S153" s="271"/>
      <c r="T153" s="271"/>
      <c r="U153" s="271"/>
      <c r="V153" s="271"/>
      <c r="W153" s="271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</row>
    <row r="154" spans="1:77" s="20" customFormat="1" ht="15">
      <c r="A154" s="93" t="s">
        <v>163</v>
      </c>
      <c r="B154" s="341" t="s">
        <v>164</v>
      </c>
      <c r="C154" s="327" t="s">
        <v>164</v>
      </c>
      <c r="D154" s="93"/>
      <c r="E154" s="328"/>
      <c r="F154" s="295"/>
      <c r="G154" s="295"/>
      <c r="H154" s="295"/>
      <c r="I154" s="295"/>
      <c r="J154" s="295"/>
      <c r="K154" s="70"/>
      <c r="L154" s="70"/>
      <c r="M154" s="70"/>
      <c r="N154" s="70"/>
      <c r="O154" s="70"/>
      <c r="P154" s="70"/>
      <c r="Q154" s="71"/>
      <c r="R154" s="271"/>
      <c r="S154" s="271"/>
      <c r="T154" s="271"/>
      <c r="U154" s="271"/>
      <c r="V154" s="271"/>
      <c r="W154" s="271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</row>
    <row r="155" spans="1:77" s="20" customFormat="1" ht="15">
      <c r="A155" s="93">
        <v>102</v>
      </c>
      <c r="B155" s="164" t="s">
        <v>165</v>
      </c>
      <c r="C155" s="186" t="s">
        <v>165</v>
      </c>
      <c r="D155" s="93"/>
      <c r="E155" s="328"/>
      <c r="F155" s="295"/>
      <c r="G155" s="295"/>
      <c r="H155" s="295"/>
      <c r="I155" s="295"/>
      <c r="J155" s="295"/>
      <c r="K155" s="70"/>
      <c r="L155" s="70"/>
      <c r="M155" s="70"/>
      <c r="N155" s="70"/>
      <c r="O155" s="70"/>
      <c r="P155" s="70"/>
      <c r="Q155" s="71"/>
      <c r="R155" s="271"/>
      <c r="S155" s="271"/>
      <c r="T155" s="271"/>
      <c r="U155" s="271"/>
      <c r="V155" s="271"/>
      <c r="W155" s="271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</row>
    <row r="156" spans="1:77" s="20" customFormat="1" ht="15">
      <c r="A156" s="93">
        <v>103</v>
      </c>
      <c r="B156" s="164" t="s">
        <v>166</v>
      </c>
      <c r="C156" s="186" t="s">
        <v>166</v>
      </c>
      <c r="D156" s="93"/>
      <c r="E156" s="328"/>
      <c r="F156" s="295"/>
      <c r="G156" s="295"/>
      <c r="H156" s="295"/>
      <c r="I156" s="295"/>
      <c r="J156" s="295"/>
      <c r="K156" s="70"/>
      <c r="L156" s="70"/>
      <c r="M156" s="70"/>
      <c r="N156" s="70"/>
      <c r="O156" s="70"/>
      <c r="P156" s="70"/>
      <c r="Q156" s="71"/>
      <c r="R156" s="271"/>
      <c r="S156" s="271"/>
      <c r="T156" s="271"/>
      <c r="U156" s="271"/>
      <c r="V156" s="271"/>
      <c r="W156" s="271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</row>
    <row r="157" spans="1:77" s="20" customFormat="1" ht="15">
      <c r="A157" s="93">
        <v>104</v>
      </c>
      <c r="B157" s="164" t="s">
        <v>167</v>
      </c>
      <c r="C157" s="186" t="s">
        <v>167</v>
      </c>
      <c r="D157" s="93"/>
      <c r="E157" s="328"/>
      <c r="F157" s="295"/>
      <c r="G157" s="295"/>
      <c r="H157" s="295"/>
      <c r="I157" s="295"/>
      <c r="J157" s="295"/>
      <c r="K157" s="70"/>
      <c r="L157" s="70"/>
      <c r="M157" s="70"/>
      <c r="N157" s="70"/>
      <c r="O157" s="70"/>
      <c r="P157" s="70"/>
      <c r="Q157" s="71"/>
      <c r="R157" s="271"/>
      <c r="S157" s="271"/>
      <c r="T157" s="271"/>
      <c r="U157" s="271"/>
      <c r="V157" s="271"/>
      <c r="W157" s="271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</row>
    <row r="158" spans="1:77" s="20" customFormat="1" ht="15">
      <c r="A158" s="294">
        <v>105</v>
      </c>
      <c r="B158" s="164" t="s">
        <v>142</v>
      </c>
      <c r="C158" s="186" t="s">
        <v>142</v>
      </c>
      <c r="D158" s="294"/>
      <c r="E158" s="303"/>
      <c r="F158" s="304"/>
      <c r="G158" s="304"/>
      <c r="H158" s="304"/>
      <c r="I158" s="304"/>
      <c r="J158" s="304">
        <v>100</v>
      </c>
      <c r="K158" s="70"/>
      <c r="L158" s="70"/>
      <c r="M158" s="70"/>
      <c r="N158" s="70"/>
      <c r="O158" s="70"/>
      <c r="P158" s="70"/>
      <c r="Q158" s="71"/>
      <c r="R158" s="271"/>
      <c r="S158" s="271"/>
      <c r="T158" s="271"/>
      <c r="U158" s="271"/>
      <c r="V158" s="271"/>
      <c r="W158" s="271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</row>
    <row r="159" spans="1:77" s="20" customFormat="1" ht="15">
      <c r="A159" s="327" t="s">
        <v>168</v>
      </c>
      <c r="B159" s="341" t="s">
        <v>169</v>
      </c>
      <c r="C159" s="327" t="s">
        <v>169</v>
      </c>
      <c r="D159" s="93"/>
      <c r="E159" s="295"/>
      <c r="F159" s="295"/>
      <c r="G159" s="295"/>
      <c r="H159" s="295"/>
      <c r="I159" s="295"/>
      <c r="J159" s="93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</row>
    <row r="160" spans="1:77" s="20" customFormat="1" ht="15">
      <c r="A160" s="93">
        <v>106</v>
      </c>
      <c r="B160" s="164" t="s">
        <v>170</v>
      </c>
      <c r="C160" s="186" t="s">
        <v>170</v>
      </c>
      <c r="D160" s="93"/>
      <c r="E160" s="295"/>
      <c r="F160" s="295"/>
      <c r="G160" s="295"/>
      <c r="H160" s="295"/>
      <c r="I160" s="295"/>
      <c r="J160" s="93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</row>
    <row r="161" spans="1:77" s="20" customFormat="1" ht="15">
      <c r="A161" s="93">
        <v>107</v>
      </c>
      <c r="B161" s="331" t="s">
        <v>171</v>
      </c>
      <c r="C161" s="185" t="s">
        <v>171</v>
      </c>
      <c r="D161" s="93"/>
      <c r="E161" s="295"/>
      <c r="F161" s="295"/>
      <c r="G161" s="295"/>
      <c r="H161" s="295"/>
      <c r="I161" s="295"/>
      <c r="J161" s="93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</row>
    <row r="162" spans="1:77" s="20" customFormat="1" ht="26.25">
      <c r="A162" s="93"/>
      <c r="B162" s="332" t="s">
        <v>273</v>
      </c>
      <c r="C162" s="185"/>
      <c r="D162" s="93"/>
      <c r="E162" s="295"/>
      <c r="F162" s="295"/>
      <c r="G162" s="295"/>
      <c r="H162" s="295"/>
      <c r="I162" s="295"/>
      <c r="J162" s="93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</row>
    <row r="163" spans="1:77" s="233" customFormat="1" ht="15">
      <c r="A163" s="329" t="s">
        <v>172</v>
      </c>
      <c r="B163" s="341" t="s">
        <v>173</v>
      </c>
      <c r="C163" s="329" t="s">
        <v>173</v>
      </c>
      <c r="D163" s="228"/>
      <c r="E163" s="229"/>
      <c r="F163" s="229"/>
      <c r="G163" s="229"/>
      <c r="H163" s="229"/>
      <c r="I163" s="229"/>
      <c r="J163" s="229"/>
      <c r="K163" s="275"/>
      <c r="L163" s="275"/>
      <c r="M163" s="275"/>
      <c r="N163" s="276"/>
      <c r="O163" s="277"/>
      <c r="P163" s="278"/>
      <c r="Q163" s="278"/>
      <c r="R163" s="275"/>
      <c r="S163" s="275"/>
      <c r="T163" s="278"/>
      <c r="U163" s="275"/>
      <c r="V163" s="278"/>
      <c r="W163" s="275"/>
      <c r="X163" s="278"/>
      <c r="Y163" s="275"/>
      <c r="Z163" s="278"/>
      <c r="AA163" s="275"/>
      <c r="AB163" s="278"/>
      <c r="AC163" s="275"/>
      <c r="AD163" s="278"/>
      <c r="AE163" s="275"/>
      <c r="AF163" s="278"/>
      <c r="AG163" s="275"/>
      <c r="AH163" s="278"/>
      <c r="AI163" s="275"/>
      <c r="AJ163" s="275"/>
      <c r="AK163" s="275"/>
      <c r="AL163" s="275"/>
      <c r="AM163" s="275"/>
      <c r="AN163" s="275"/>
      <c r="AO163" s="275"/>
      <c r="AP163" s="275"/>
      <c r="AQ163" s="275"/>
      <c r="AR163" s="275"/>
      <c r="AS163" s="275"/>
      <c r="AT163" s="275"/>
      <c r="AU163" s="275"/>
      <c r="AV163" s="275"/>
      <c r="AW163" s="275"/>
      <c r="AX163" s="275"/>
      <c r="AY163" s="275"/>
      <c r="AZ163" s="275"/>
      <c r="BA163" s="275"/>
      <c r="BB163" s="275"/>
      <c r="BC163" s="275"/>
      <c r="BD163" s="275"/>
      <c r="BE163" s="275"/>
      <c r="BF163" s="275"/>
      <c r="BG163" s="275"/>
      <c r="BH163" s="275"/>
      <c r="BI163" s="275"/>
      <c r="BJ163" s="275"/>
      <c r="BK163" s="275"/>
      <c r="BL163" s="275"/>
      <c r="BM163" s="275"/>
      <c r="BN163" s="275"/>
      <c r="BO163" s="275"/>
      <c r="BP163" s="275"/>
      <c r="BQ163" s="275"/>
      <c r="BR163" s="275"/>
      <c r="BS163" s="275"/>
      <c r="BT163" s="275"/>
      <c r="BU163" s="275"/>
      <c r="BV163" s="275"/>
      <c r="BW163" s="275"/>
      <c r="BX163" s="275"/>
      <c r="BY163" s="275"/>
    </row>
    <row r="164" spans="1:77" s="233" customFormat="1" ht="15">
      <c r="A164" s="229">
        <v>108</v>
      </c>
      <c r="B164" s="343" t="s">
        <v>174</v>
      </c>
      <c r="C164" s="235" t="s">
        <v>174</v>
      </c>
      <c r="D164" s="236" t="s">
        <v>42</v>
      </c>
      <c r="E164" s="229"/>
      <c r="F164" s="229"/>
      <c r="G164" s="229"/>
      <c r="H164" s="229"/>
      <c r="I164" s="229"/>
      <c r="J164" s="229"/>
      <c r="K164" s="275"/>
      <c r="L164" s="275"/>
      <c r="M164" s="275"/>
      <c r="N164" s="276"/>
      <c r="O164" s="277"/>
      <c r="P164" s="278"/>
      <c r="Q164" s="278"/>
      <c r="R164" s="275"/>
      <c r="S164" s="275"/>
      <c r="T164" s="278"/>
      <c r="U164" s="275"/>
      <c r="V164" s="278"/>
      <c r="W164" s="275"/>
      <c r="X164" s="278"/>
      <c r="Y164" s="275"/>
      <c r="Z164" s="278"/>
      <c r="AA164" s="275"/>
      <c r="AB164" s="278"/>
      <c r="AC164" s="275"/>
      <c r="AD164" s="278"/>
      <c r="AE164" s="275"/>
      <c r="AF164" s="278"/>
      <c r="AG164" s="275"/>
      <c r="AH164" s="278"/>
      <c r="AI164" s="275"/>
      <c r="AJ164" s="275"/>
      <c r="AK164" s="275"/>
      <c r="AL164" s="275"/>
      <c r="AM164" s="275"/>
      <c r="AN164" s="275"/>
      <c r="AO164" s="275"/>
      <c r="AP164" s="275"/>
      <c r="AQ164" s="275"/>
      <c r="AR164" s="275"/>
      <c r="AS164" s="275"/>
      <c r="AT164" s="275"/>
      <c r="AU164" s="275"/>
      <c r="AV164" s="275"/>
      <c r="AW164" s="275"/>
      <c r="AX164" s="275"/>
      <c r="AY164" s="275"/>
      <c r="AZ164" s="275"/>
      <c r="BA164" s="275"/>
      <c r="BB164" s="275"/>
      <c r="BC164" s="275"/>
      <c r="BD164" s="275"/>
      <c r="BE164" s="275"/>
      <c r="BF164" s="275"/>
      <c r="BG164" s="275"/>
      <c r="BH164" s="275"/>
      <c r="BI164" s="275"/>
      <c r="BJ164" s="275"/>
      <c r="BK164" s="275"/>
      <c r="BL164" s="275"/>
      <c r="BM164" s="275"/>
      <c r="BN164" s="275"/>
      <c r="BO164" s="275"/>
      <c r="BP164" s="275"/>
      <c r="BQ164" s="275"/>
      <c r="BR164" s="275"/>
      <c r="BS164" s="275"/>
      <c r="BT164" s="275"/>
      <c r="BU164" s="275"/>
      <c r="BV164" s="275"/>
      <c r="BW164" s="275"/>
      <c r="BX164" s="275"/>
      <c r="BY164" s="275"/>
    </row>
    <row r="165" spans="1:77" s="233" customFormat="1" ht="15">
      <c r="A165" s="229">
        <v>109</v>
      </c>
      <c r="B165" s="343" t="s">
        <v>175</v>
      </c>
      <c r="C165" s="235" t="s">
        <v>175</v>
      </c>
      <c r="D165" s="236" t="s">
        <v>40</v>
      </c>
      <c r="E165" s="229"/>
      <c r="F165" s="229"/>
      <c r="G165" s="229"/>
      <c r="H165" s="229"/>
      <c r="I165" s="229"/>
      <c r="J165" s="229"/>
      <c r="K165" s="275"/>
      <c r="L165" s="275"/>
      <c r="M165" s="275"/>
      <c r="N165" s="276"/>
      <c r="O165" s="277"/>
      <c r="P165" s="278"/>
      <c r="Q165" s="278"/>
      <c r="R165" s="275"/>
      <c r="S165" s="275"/>
      <c r="T165" s="278"/>
      <c r="U165" s="275"/>
      <c r="V165" s="278"/>
      <c r="W165" s="275"/>
      <c r="X165" s="278"/>
      <c r="Y165" s="275"/>
      <c r="Z165" s="278"/>
      <c r="AA165" s="275"/>
      <c r="AB165" s="278"/>
      <c r="AC165" s="275"/>
      <c r="AD165" s="278"/>
      <c r="AE165" s="275"/>
      <c r="AF165" s="278"/>
      <c r="AG165" s="275"/>
      <c r="AH165" s="278"/>
      <c r="AI165" s="275"/>
      <c r="AJ165" s="275"/>
      <c r="AK165" s="275"/>
      <c r="AL165" s="275"/>
      <c r="AM165" s="275"/>
      <c r="AN165" s="275"/>
      <c r="AO165" s="275"/>
      <c r="AP165" s="275"/>
      <c r="AQ165" s="275"/>
      <c r="AR165" s="275"/>
      <c r="AS165" s="275"/>
      <c r="AT165" s="275"/>
      <c r="AU165" s="275"/>
      <c r="AV165" s="275"/>
      <c r="AW165" s="275"/>
      <c r="AX165" s="275"/>
      <c r="AY165" s="275"/>
      <c r="AZ165" s="275"/>
      <c r="BA165" s="275"/>
      <c r="BB165" s="275"/>
      <c r="BC165" s="275"/>
      <c r="BD165" s="275"/>
      <c r="BE165" s="275"/>
      <c r="BF165" s="275"/>
      <c r="BG165" s="275"/>
      <c r="BH165" s="275"/>
      <c r="BI165" s="275"/>
      <c r="BJ165" s="275"/>
      <c r="BK165" s="275"/>
      <c r="BL165" s="275"/>
      <c r="BM165" s="275"/>
      <c r="BN165" s="275"/>
      <c r="BO165" s="275"/>
      <c r="BP165" s="275"/>
      <c r="BQ165" s="275"/>
      <c r="BR165" s="275"/>
      <c r="BS165" s="275"/>
      <c r="BT165" s="275"/>
      <c r="BU165" s="275"/>
      <c r="BV165" s="275"/>
      <c r="BW165" s="275"/>
      <c r="BX165" s="275"/>
      <c r="BY165" s="275"/>
    </row>
    <row r="166" spans="1:77" s="233" customFormat="1" ht="15">
      <c r="A166" s="229">
        <v>110</v>
      </c>
      <c r="B166" s="343" t="s">
        <v>176</v>
      </c>
      <c r="C166" s="235" t="s">
        <v>176</v>
      </c>
      <c r="D166" s="236" t="s">
        <v>40</v>
      </c>
      <c r="E166" s="229"/>
      <c r="F166" s="229"/>
      <c r="G166" s="229"/>
      <c r="H166" s="229"/>
      <c r="I166" s="229"/>
      <c r="J166" s="229"/>
      <c r="K166" s="275"/>
      <c r="L166" s="275"/>
      <c r="M166" s="275"/>
      <c r="N166" s="276"/>
      <c r="O166" s="277"/>
      <c r="P166" s="278"/>
      <c r="Q166" s="278"/>
      <c r="R166" s="275"/>
      <c r="S166" s="275"/>
      <c r="T166" s="278"/>
      <c r="U166" s="275"/>
      <c r="V166" s="278"/>
      <c r="W166" s="275"/>
      <c r="X166" s="278"/>
      <c r="Y166" s="275"/>
      <c r="Z166" s="278"/>
      <c r="AA166" s="275"/>
      <c r="AB166" s="278"/>
      <c r="AC166" s="275"/>
      <c r="AD166" s="278"/>
      <c r="AE166" s="275"/>
      <c r="AF166" s="278"/>
      <c r="AG166" s="275"/>
      <c r="AH166" s="278"/>
      <c r="AI166" s="275"/>
      <c r="AJ166" s="275"/>
      <c r="AK166" s="275"/>
      <c r="AL166" s="275"/>
      <c r="AM166" s="275"/>
      <c r="AN166" s="275"/>
      <c r="AO166" s="275"/>
      <c r="AP166" s="275"/>
      <c r="AQ166" s="275"/>
      <c r="AR166" s="275"/>
      <c r="AS166" s="275"/>
      <c r="AT166" s="275"/>
      <c r="AU166" s="275"/>
      <c r="AV166" s="275"/>
      <c r="AW166" s="275"/>
      <c r="AX166" s="275"/>
      <c r="AY166" s="275"/>
      <c r="AZ166" s="275"/>
      <c r="BA166" s="275"/>
      <c r="BB166" s="275"/>
      <c r="BC166" s="275"/>
      <c r="BD166" s="275"/>
      <c r="BE166" s="275"/>
      <c r="BF166" s="275"/>
      <c r="BG166" s="275"/>
      <c r="BH166" s="275"/>
      <c r="BI166" s="275"/>
      <c r="BJ166" s="275"/>
      <c r="BK166" s="275"/>
      <c r="BL166" s="275"/>
      <c r="BM166" s="275"/>
      <c r="BN166" s="275"/>
      <c r="BO166" s="275"/>
      <c r="BP166" s="275"/>
      <c r="BQ166" s="275"/>
      <c r="BR166" s="275"/>
      <c r="BS166" s="275"/>
      <c r="BT166" s="275"/>
      <c r="BU166" s="275"/>
      <c r="BV166" s="275"/>
      <c r="BW166" s="275"/>
      <c r="BX166" s="275"/>
      <c r="BY166" s="275"/>
    </row>
    <row r="167" spans="1:77" s="233" customFormat="1" ht="15">
      <c r="A167" s="329" t="s">
        <v>177</v>
      </c>
      <c r="B167" s="346" t="s">
        <v>178</v>
      </c>
      <c r="C167" s="329" t="s">
        <v>178</v>
      </c>
      <c r="D167" s="228"/>
      <c r="E167" s="229"/>
      <c r="F167" s="229"/>
      <c r="G167" s="229"/>
      <c r="H167" s="229"/>
      <c r="I167" s="229"/>
      <c r="J167" s="229"/>
      <c r="K167" s="275"/>
      <c r="L167" s="275"/>
      <c r="M167" s="275"/>
      <c r="N167" s="276"/>
      <c r="O167" s="277"/>
      <c r="P167" s="278"/>
      <c r="Q167" s="278"/>
      <c r="R167" s="275"/>
      <c r="S167" s="275"/>
      <c r="T167" s="278"/>
      <c r="U167" s="275"/>
      <c r="V167" s="278"/>
      <c r="W167" s="275"/>
      <c r="X167" s="278"/>
      <c r="Y167" s="275"/>
      <c r="Z167" s="278"/>
      <c r="AA167" s="275"/>
      <c r="AB167" s="278"/>
      <c r="AC167" s="275"/>
      <c r="AD167" s="278"/>
      <c r="AE167" s="275"/>
      <c r="AF167" s="278"/>
      <c r="AG167" s="275"/>
      <c r="AH167" s="278"/>
      <c r="AI167" s="275"/>
      <c r="AJ167" s="275"/>
      <c r="AK167" s="275"/>
      <c r="AL167" s="275"/>
      <c r="AM167" s="275"/>
      <c r="AN167" s="275"/>
      <c r="AO167" s="275"/>
      <c r="AP167" s="275"/>
      <c r="AQ167" s="275"/>
      <c r="AR167" s="275"/>
      <c r="AS167" s="275"/>
      <c r="AT167" s="275"/>
      <c r="AU167" s="275"/>
      <c r="AV167" s="275"/>
      <c r="AW167" s="275"/>
      <c r="AX167" s="275"/>
      <c r="AY167" s="275"/>
      <c r="AZ167" s="275"/>
      <c r="BA167" s="275"/>
      <c r="BB167" s="275"/>
      <c r="BC167" s="275"/>
      <c r="BD167" s="275"/>
      <c r="BE167" s="275"/>
      <c r="BF167" s="275"/>
      <c r="BG167" s="275"/>
      <c r="BH167" s="275"/>
      <c r="BI167" s="275"/>
      <c r="BJ167" s="275"/>
      <c r="BK167" s="275"/>
      <c r="BL167" s="275"/>
      <c r="BM167" s="275"/>
      <c r="BN167" s="275"/>
      <c r="BO167" s="275"/>
      <c r="BP167" s="275"/>
      <c r="BQ167" s="275"/>
      <c r="BR167" s="275"/>
      <c r="BS167" s="275"/>
      <c r="BT167" s="275"/>
      <c r="BU167" s="275"/>
      <c r="BV167" s="275"/>
      <c r="BW167" s="275"/>
      <c r="BX167" s="275"/>
      <c r="BY167" s="275"/>
    </row>
    <row r="168" spans="1:77" s="233" customFormat="1" ht="15">
      <c r="A168" s="229">
        <v>111</v>
      </c>
      <c r="B168" s="343" t="s">
        <v>179</v>
      </c>
      <c r="C168" s="235" t="s">
        <v>179</v>
      </c>
      <c r="D168" s="236" t="s">
        <v>40</v>
      </c>
      <c r="E168" s="229"/>
      <c r="F168" s="229"/>
      <c r="G168" s="229"/>
      <c r="H168" s="229"/>
      <c r="I168" s="229"/>
      <c r="J168" s="229"/>
      <c r="K168" s="275"/>
      <c r="L168" s="275"/>
      <c r="M168" s="275"/>
      <c r="N168" s="276"/>
      <c r="O168" s="277"/>
      <c r="P168" s="278"/>
      <c r="Q168" s="278"/>
      <c r="R168" s="275"/>
      <c r="S168" s="275"/>
      <c r="T168" s="278"/>
      <c r="U168" s="275"/>
      <c r="V168" s="278"/>
      <c r="W168" s="275"/>
      <c r="X168" s="278"/>
      <c r="Y168" s="275"/>
      <c r="Z168" s="278"/>
      <c r="AA168" s="275"/>
      <c r="AB168" s="278"/>
      <c r="AC168" s="275"/>
      <c r="AD168" s="278"/>
      <c r="AE168" s="275"/>
      <c r="AF168" s="278"/>
      <c r="AG168" s="275"/>
      <c r="AH168" s="278"/>
      <c r="AI168" s="275"/>
      <c r="AJ168" s="275"/>
      <c r="AK168" s="275"/>
      <c r="AL168" s="275"/>
      <c r="AM168" s="275"/>
      <c r="AN168" s="275"/>
      <c r="AO168" s="275"/>
      <c r="AP168" s="275"/>
      <c r="AQ168" s="275"/>
      <c r="AR168" s="275"/>
      <c r="AS168" s="275"/>
      <c r="AT168" s="275"/>
      <c r="AU168" s="275"/>
      <c r="AV168" s="275"/>
      <c r="AW168" s="275"/>
      <c r="AX168" s="275"/>
      <c r="AY168" s="275"/>
      <c r="AZ168" s="275"/>
      <c r="BA168" s="275"/>
      <c r="BB168" s="275"/>
      <c r="BC168" s="275"/>
      <c r="BD168" s="275"/>
      <c r="BE168" s="275"/>
      <c r="BF168" s="275"/>
      <c r="BG168" s="275"/>
      <c r="BH168" s="275"/>
      <c r="BI168" s="275"/>
      <c r="BJ168" s="275"/>
      <c r="BK168" s="275"/>
      <c r="BL168" s="275"/>
      <c r="BM168" s="275"/>
      <c r="BN168" s="275"/>
      <c r="BO168" s="275"/>
      <c r="BP168" s="275"/>
      <c r="BQ168" s="275"/>
      <c r="BR168" s="275"/>
      <c r="BS168" s="275"/>
      <c r="BT168" s="275"/>
      <c r="BU168" s="275"/>
      <c r="BV168" s="275"/>
      <c r="BW168" s="275"/>
      <c r="BX168" s="275"/>
      <c r="BY168" s="275"/>
    </row>
    <row r="169" spans="1:77" s="233" customFormat="1" ht="15">
      <c r="A169" s="229">
        <v>112</v>
      </c>
      <c r="B169" s="343" t="s">
        <v>180</v>
      </c>
      <c r="C169" s="235" t="s">
        <v>180</v>
      </c>
      <c r="D169" s="236" t="s">
        <v>40</v>
      </c>
      <c r="E169" s="229"/>
      <c r="F169" s="229"/>
      <c r="G169" s="229"/>
      <c r="H169" s="229"/>
      <c r="I169" s="229"/>
      <c r="J169" s="229"/>
      <c r="K169" s="275"/>
      <c r="L169" s="275"/>
      <c r="M169" s="275"/>
      <c r="N169" s="276"/>
      <c r="O169" s="277"/>
      <c r="P169" s="278"/>
      <c r="Q169" s="278"/>
      <c r="R169" s="275"/>
      <c r="S169" s="275"/>
      <c r="T169" s="278"/>
      <c r="U169" s="275"/>
      <c r="V169" s="278"/>
      <c r="W169" s="275"/>
      <c r="X169" s="278"/>
      <c r="Y169" s="275"/>
      <c r="Z169" s="278"/>
      <c r="AA169" s="275"/>
      <c r="AB169" s="278"/>
      <c r="AC169" s="275"/>
      <c r="AD169" s="278"/>
      <c r="AE169" s="275"/>
      <c r="AF169" s="278"/>
      <c r="AG169" s="275"/>
      <c r="AH169" s="278"/>
      <c r="AI169" s="275"/>
      <c r="AJ169" s="275"/>
      <c r="AK169" s="275"/>
      <c r="AL169" s="275"/>
      <c r="AM169" s="275"/>
      <c r="AN169" s="275"/>
      <c r="AO169" s="275"/>
      <c r="AP169" s="275"/>
      <c r="AQ169" s="275"/>
      <c r="AR169" s="275"/>
      <c r="AS169" s="275"/>
      <c r="AT169" s="275"/>
      <c r="AU169" s="275"/>
      <c r="AV169" s="275"/>
      <c r="AW169" s="275"/>
      <c r="AX169" s="275"/>
      <c r="AY169" s="275"/>
      <c r="AZ169" s="275"/>
      <c r="BA169" s="275"/>
      <c r="BB169" s="275"/>
      <c r="BC169" s="275"/>
      <c r="BD169" s="275"/>
      <c r="BE169" s="275"/>
      <c r="BF169" s="275"/>
      <c r="BG169" s="275"/>
      <c r="BH169" s="275"/>
      <c r="BI169" s="275"/>
      <c r="BJ169" s="275"/>
      <c r="BK169" s="275"/>
      <c r="BL169" s="275"/>
      <c r="BM169" s="275"/>
      <c r="BN169" s="275"/>
      <c r="BO169" s="275"/>
      <c r="BP169" s="275"/>
      <c r="BQ169" s="275"/>
      <c r="BR169" s="275"/>
      <c r="BS169" s="275"/>
      <c r="BT169" s="275"/>
      <c r="BU169" s="275"/>
      <c r="BV169" s="275"/>
      <c r="BW169" s="275"/>
      <c r="BX169" s="275"/>
      <c r="BY169" s="275"/>
    </row>
    <row r="170" spans="1:77" s="233" customFormat="1" ht="15">
      <c r="A170" s="229">
        <v>113</v>
      </c>
      <c r="B170" s="343" t="s">
        <v>181</v>
      </c>
      <c r="C170" s="235" t="s">
        <v>181</v>
      </c>
      <c r="D170" s="236" t="s">
        <v>42</v>
      </c>
      <c r="E170" s="229"/>
      <c r="F170" s="229"/>
      <c r="G170" s="229"/>
      <c r="H170" s="229"/>
      <c r="I170" s="229"/>
      <c r="J170" s="229"/>
      <c r="K170" s="275"/>
      <c r="L170" s="275"/>
      <c r="M170" s="275"/>
      <c r="N170" s="276"/>
      <c r="O170" s="277"/>
      <c r="P170" s="278"/>
      <c r="Q170" s="278"/>
      <c r="R170" s="275"/>
      <c r="S170" s="275"/>
      <c r="T170" s="278"/>
      <c r="U170" s="275"/>
      <c r="V170" s="278"/>
      <c r="W170" s="275"/>
      <c r="X170" s="278"/>
      <c r="Y170" s="275"/>
      <c r="Z170" s="278"/>
      <c r="AA170" s="275"/>
      <c r="AB170" s="278"/>
      <c r="AC170" s="275"/>
      <c r="AD170" s="278"/>
      <c r="AE170" s="275"/>
      <c r="AF170" s="278"/>
      <c r="AG170" s="275"/>
      <c r="AH170" s="278"/>
      <c r="AI170" s="275"/>
      <c r="AJ170" s="275"/>
      <c r="AK170" s="275"/>
      <c r="AL170" s="275"/>
      <c r="AM170" s="275"/>
      <c r="AN170" s="275"/>
      <c r="AO170" s="275"/>
      <c r="AP170" s="275"/>
      <c r="AQ170" s="275"/>
      <c r="AR170" s="275"/>
      <c r="AS170" s="275"/>
      <c r="AT170" s="275"/>
      <c r="AU170" s="275"/>
      <c r="AV170" s="275"/>
      <c r="AW170" s="275"/>
      <c r="AX170" s="275"/>
      <c r="AY170" s="275"/>
      <c r="AZ170" s="275"/>
      <c r="BA170" s="275"/>
      <c r="BB170" s="275"/>
      <c r="BC170" s="275"/>
      <c r="BD170" s="275"/>
      <c r="BE170" s="275"/>
      <c r="BF170" s="275"/>
      <c r="BG170" s="275"/>
      <c r="BH170" s="275"/>
      <c r="BI170" s="275"/>
      <c r="BJ170" s="275"/>
      <c r="BK170" s="275"/>
      <c r="BL170" s="275"/>
      <c r="BM170" s="275"/>
      <c r="BN170" s="275"/>
      <c r="BO170" s="275"/>
      <c r="BP170" s="275"/>
      <c r="BQ170" s="275"/>
      <c r="BR170" s="275"/>
      <c r="BS170" s="275"/>
      <c r="BT170" s="275"/>
      <c r="BU170" s="275"/>
      <c r="BV170" s="275"/>
      <c r="BW170" s="275"/>
      <c r="BX170" s="275"/>
      <c r="BY170" s="275"/>
    </row>
    <row r="171" spans="1:77" s="233" customFormat="1" ht="15">
      <c r="A171" s="329" t="s">
        <v>182</v>
      </c>
      <c r="B171" s="346" t="s">
        <v>183</v>
      </c>
      <c r="C171" s="329" t="s">
        <v>183</v>
      </c>
      <c r="D171" s="228"/>
      <c r="E171" s="229"/>
      <c r="F171" s="229"/>
      <c r="G171" s="229"/>
      <c r="H171" s="229"/>
      <c r="I171" s="229"/>
      <c r="J171" s="229"/>
      <c r="K171" s="275"/>
      <c r="L171" s="275"/>
      <c r="M171" s="275"/>
      <c r="N171" s="276"/>
      <c r="O171" s="277"/>
      <c r="P171" s="278"/>
      <c r="Q171" s="278"/>
      <c r="R171" s="275"/>
      <c r="S171" s="275"/>
      <c r="T171" s="278"/>
      <c r="U171" s="275"/>
      <c r="V171" s="278"/>
      <c r="W171" s="275"/>
      <c r="X171" s="278"/>
      <c r="Y171" s="275"/>
      <c r="Z171" s="278"/>
      <c r="AA171" s="275"/>
      <c r="AB171" s="278"/>
      <c r="AC171" s="275"/>
      <c r="AD171" s="278"/>
      <c r="AE171" s="275"/>
      <c r="AF171" s="278"/>
      <c r="AG171" s="275"/>
      <c r="AH171" s="278"/>
      <c r="AI171" s="275"/>
      <c r="AJ171" s="275"/>
      <c r="AK171" s="275"/>
      <c r="AL171" s="275"/>
      <c r="AM171" s="275"/>
      <c r="AN171" s="275"/>
      <c r="AO171" s="275"/>
      <c r="AP171" s="275"/>
      <c r="AQ171" s="275"/>
      <c r="AR171" s="275"/>
      <c r="AS171" s="275"/>
      <c r="AT171" s="275"/>
      <c r="AU171" s="275"/>
      <c r="AV171" s="275"/>
      <c r="AW171" s="275"/>
      <c r="AX171" s="275"/>
      <c r="AY171" s="275"/>
      <c r="AZ171" s="275"/>
      <c r="BA171" s="275"/>
      <c r="BB171" s="275"/>
      <c r="BC171" s="275"/>
      <c r="BD171" s="275"/>
      <c r="BE171" s="275"/>
      <c r="BF171" s="275"/>
      <c r="BG171" s="275"/>
      <c r="BH171" s="275"/>
      <c r="BI171" s="275"/>
      <c r="BJ171" s="275"/>
      <c r="BK171" s="275"/>
      <c r="BL171" s="275"/>
      <c r="BM171" s="275"/>
      <c r="BN171" s="275"/>
      <c r="BO171" s="275"/>
      <c r="BP171" s="275"/>
      <c r="BQ171" s="275"/>
      <c r="BR171" s="275"/>
      <c r="BS171" s="275"/>
      <c r="BT171" s="275"/>
      <c r="BU171" s="275"/>
      <c r="BV171" s="275"/>
      <c r="BW171" s="275"/>
      <c r="BX171" s="275"/>
      <c r="BY171" s="275"/>
    </row>
    <row r="172" spans="1:77" s="233" customFormat="1" ht="15">
      <c r="A172" s="229">
        <v>114</v>
      </c>
      <c r="B172" s="343" t="s">
        <v>184</v>
      </c>
      <c r="C172" s="235" t="s">
        <v>184</v>
      </c>
      <c r="D172" s="236" t="s">
        <v>40</v>
      </c>
      <c r="E172" s="229"/>
      <c r="F172" s="229"/>
      <c r="G172" s="229"/>
      <c r="H172" s="229"/>
      <c r="I172" s="229"/>
      <c r="J172" s="229"/>
      <c r="K172" s="275"/>
      <c r="L172" s="275"/>
      <c r="M172" s="275"/>
      <c r="N172" s="276"/>
      <c r="O172" s="277"/>
      <c r="P172" s="278"/>
      <c r="Q172" s="278"/>
      <c r="R172" s="275"/>
      <c r="S172" s="275"/>
      <c r="T172" s="278"/>
      <c r="U172" s="275"/>
      <c r="V172" s="278"/>
      <c r="W172" s="275"/>
      <c r="X172" s="278"/>
      <c r="Y172" s="275"/>
      <c r="Z172" s="278"/>
      <c r="AA172" s="275"/>
      <c r="AB172" s="278"/>
      <c r="AC172" s="275"/>
      <c r="AD172" s="278"/>
      <c r="AE172" s="275"/>
      <c r="AF172" s="278"/>
      <c r="AG172" s="275"/>
      <c r="AH172" s="278"/>
      <c r="AI172" s="275"/>
      <c r="AJ172" s="275"/>
      <c r="AK172" s="275"/>
      <c r="AL172" s="275"/>
      <c r="AM172" s="275"/>
      <c r="AN172" s="275"/>
      <c r="AO172" s="275"/>
      <c r="AP172" s="275"/>
      <c r="AQ172" s="275"/>
      <c r="AR172" s="275"/>
      <c r="AS172" s="275"/>
      <c r="AT172" s="275"/>
      <c r="AU172" s="275"/>
      <c r="AV172" s="275"/>
      <c r="AW172" s="275"/>
      <c r="AX172" s="275"/>
      <c r="AY172" s="275"/>
      <c r="AZ172" s="275"/>
      <c r="BA172" s="275"/>
      <c r="BB172" s="275"/>
      <c r="BC172" s="275"/>
      <c r="BD172" s="275"/>
      <c r="BE172" s="275"/>
      <c r="BF172" s="275"/>
      <c r="BG172" s="275"/>
      <c r="BH172" s="275"/>
      <c r="BI172" s="275"/>
      <c r="BJ172" s="275"/>
      <c r="BK172" s="275"/>
      <c r="BL172" s="275"/>
      <c r="BM172" s="275"/>
      <c r="BN172" s="275"/>
      <c r="BO172" s="275"/>
      <c r="BP172" s="275"/>
      <c r="BQ172" s="275"/>
      <c r="BR172" s="275"/>
      <c r="BS172" s="275"/>
      <c r="BT172" s="275"/>
      <c r="BU172" s="275"/>
      <c r="BV172" s="275"/>
      <c r="BW172" s="275"/>
      <c r="BX172" s="275"/>
      <c r="BY172" s="275"/>
    </row>
    <row r="173" spans="1:77" s="233" customFormat="1" ht="15">
      <c r="A173" s="229">
        <v>115</v>
      </c>
      <c r="B173" s="343" t="s">
        <v>185</v>
      </c>
      <c r="C173" s="235" t="s">
        <v>185</v>
      </c>
      <c r="D173" s="236" t="s">
        <v>40</v>
      </c>
      <c r="E173" s="229"/>
      <c r="F173" s="229"/>
      <c r="G173" s="229"/>
      <c r="H173" s="229"/>
      <c r="I173" s="229"/>
      <c r="J173" s="229"/>
      <c r="K173" s="275"/>
      <c r="L173" s="275"/>
      <c r="M173" s="275"/>
      <c r="N173" s="276"/>
      <c r="O173" s="277"/>
      <c r="P173" s="278"/>
      <c r="Q173" s="278"/>
      <c r="R173" s="275"/>
      <c r="S173" s="275"/>
      <c r="T173" s="278"/>
      <c r="U173" s="275"/>
      <c r="V173" s="278"/>
      <c r="W173" s="275"/>
      <c r="X173" s="278"/>
      <c r="Y173" s="275"/>
      <c r="Z173" s="278"/>
      <c r="AA173" s="275"/>
      <c r="AB173" s="278"/>
      <c r="AC173" s="275"/>
      <c r="AD173" s="278"/>
      <c r="AE173" s="275"/>
      <c r="AF173" s="278"/>
      <c r="AG173" s="275"/>
      <c r="AH173" s="278"/>
      <c r="AI173" s="275"/>
      <c r="AJ173" s="275"/>
      <c r="AK173" s="275"/>
      <c r="AL173" s="275"/>
      <c r="AM173" s="275"/>
      <c r="AN173" s="275"/>
      <c r="AO173" s="275"/>
      <c r="AP173" s="275"/>
      <c r="AQ173" s="275"/>
      <c r="AR173" s="275"/>
      <c r="AS173" s="275"/>
      <c r="AT173" s="275"/>
      <c r="AU173" s="275"/>
      <c r="AV173" s="275"/>
      <c r="AW173" s="275"/>
      <c r="AX173" s="275"/>
      <c r="AY173" s="275"/>
      <c r="AZ173" s="275"/>
      <c r="BA173" s="275"/>
      <c r="BB173" s="275"/>
      <c r="BC173" s="275"/>
      <c r="BD173" s="275"/>
      <c r="BE173" s="275"/>
      <c r="BF173" s="275"/>
      <c r="BG173" s="275"/>
      <c r="BH173" s="275"/>
      <c r="BI173" s="275"/>
      <c r="BJ173" s="275"/>
      <c r="BK173" s="275"/>
      <c r="BL173" s="275"/>
      <c r="BM173" s="275"/>
      <c r="BN173" s="275"/>
      <c r="BO173" s="275"/>
      <c r="BP173" s="275"/>
      <c r="BQ173" s="275"/>
      <c r="BR173" s="275"/>
      <c r="BS173" s="275"/>
      <c r="BT173" s="275"/>
      <c r="BU173" s="275"/>
      <c r="BV173" s="275"/>
      <c r="BW173" s="275"/>
      <c r="BX173" s="275"/>
      <c r="BY173" s="275"/>
    </row>
    <row r="174" spans="1:77" ht="15">
      <c r="A174" s="287"/>
      <c r="B174" s="287"/>
      <c r="C174" s="287"/>
      <c r="D174" s="287"/>
      <c r="E174" s="290"/>
      <c r="F174" s="290"/>
      <c r="G174" s="290"/>
      <c r="H174" s="290"/>
      <c r="I174" s="290"/>
      <c r="J174" s="2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</row>
    <row r="175" spans="1:77" ht="15">
      <c r="A175" s="291" t="s">
        <v>186</v>
      </c>
      <c r="B175" s="347" t="s">
        <v>288</v>
      </c>
      <c r="C175" s="291" t="s">
        <v>187</v>
      </c>
      <c r="D175" s="291"/>
      <c r="E175" s="309"/>
      <c r="F175" s="292"/>
      <c r="G175" s="292"/>
      <c r="H175" s="292"/>
      <c r="I175" s="292"/>
      <c r="J175" s="292"/>
      <c r="K175" s="41"/>
      <c r="L175" s="41"/>
      <c r="M175" s="41"/>
      <c r="N175" s="41"/>
      <c r="O175" s="41"/>
      <c r="P175" s="41"/>
      <c r="Q175" s="62"/>
      <c r="R175" s="112"/>
      <c r="S175" s="112"/>
      <c r="T175" s="112"/>
      <c r="U175" s="112"/>
      <c r="V175" s="112"/>
      <c r="W175" s="112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</row>
    <row r="176" spans="1:77" ht="15">
      <c r="A176" s="287">
        <v>116</v>
      </c>
      <c r="B176" s="348" t="s">
        <v>188</v>
      </c>
      <c r="C176" s="287" t="s">
        <v>188</v>
      </c>
      <c r="D176" s="291"/>
      <c r="E176" s="309"/>
      <c r="F176" s="292"/>
      <c r="G176" s="292"/>
      <c r="H176" s="292"/>
      <c r="I176" s="292"/>
      <c r="J176" s="292"/>
      <c r="K176" s="41"/>
      <c r="L176" s="41"/>
      <c r="M176" s="41"/>
      <c r="N176" s="41"/>
      <c r="O176" s="41"/>
      <c r="P176" s="41"/>
      <c r="Q176" s="62"/>
      <c r="R176" s="112"/>
      <c r="S176" s="112"/>
      <c r="T176" s="112"/>
      <c r="U176" s="112"/>
      <c r="V176" s="112"/>
      <c r="W176" s="112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</row>
    <row r="177" spans="1:77" ht="15">
      <c r="A177" s="287">
        <v>117</v>
      </c>
      <c r="B177" s="348" t="s">
        <v>189</v>
      </c>
      <c r="C177" s="291" t="s">
        <v>189</v>
      </c>
      <c r="D177" s="291"/>
      <c r="E177" s="309"/>
      <c r="F177" s="292"/>
      <c r="G177" s="292"/>
      <c r="H177" s="292"/>
      <c r="I177" s="292"/>
      <c r="J177" s="292"/>
      <c r="K177" s="41"/>
      <c r="L177" s="41"/>
      <c r="M177" s="41"/>
      <c r="N177" s="41"/>
      <c r="O177" s="41"/>
      <c r="P177" s="41"/>
      <c r="Q177" s="62"/>
      <c r="R177" s="112"/>
      <c r="S177" s="112"/>
      <c r="T177" s="112"/>
      <c r="U177" s="112"/>
      <c r="V177" s="112"/>
      <c r="W177" s="112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</row>
    <row r="178" spans="1:77" ht="15">
      <c r="A178" s="287" t="s">
        <v>190</v>
      </c>
      <c r="B178" s="330" t="s">
        <v>191</v>
      </c>
      <c r="C178" s="321" t="s">
        <v>191</v>
      </c>
      <c r="D178" s="321"/>
      <c r="E178" s="198"/>
      <c r="F178" s="199"/>
      <c r="G178" s="199"/>
      <c r="H178" s="199"/>
      <c r="I178" s="199"/>
      <c r="J178" s="199"/>
      <c r="K178" s="41"/>
      <c r="L178" s="41"/>
      <c r="M178" s="41"/>
      <c r="N178" s="41"/>
      <c r="O178" s="41"/>
      <c r="P178" s="41"/>
      <c r="Q178" s="62"/>
      <c r="R178" s="112"/>
      <c r="S178" s="112"/>
      <c r="T178" s="112"/>
      <c r="U178" s="112"/>
      <c r="V178" s="112"/>
      <c r="W178" s="112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</row>
    <row r="179" spans="1:77" ht="15">
      <c r="A179" s="287">
        <v>118</v>
      </c>
      <c r="B179" s="318" t="s">
        <v>289</v>
      </c>
      <c r="C179" s="194" t="s">
        <v>192</v>
      </c>
      <c r="D179" s="194"/>
      <c r="E179" s="195">
        <f>'[1]M S'!G14</f>
        <v>559.3349358974359</v>
      </c>
      <c r="F179" s="196"/>
      <c r="G179" s="196"/>
      <c r="H179" s="196"/>
      <c r="I179" s="196">
        <f>'[1]M S'!W14</f>
        <v>900</v>
      </c>
      <c r="J179" s="196">
        <f>SUM(E179:I179)</f>
        <v>1459.334935897436</v>
      </c>
      <c r="K179" s="41"/>
      <c r="L179" s="41"/>
      <c r="M179" s="41"/>
      <c r="N179" s="41"/>
      <c r="O179" s="41"/>
      <c r="P179" s="41"/>
      <c r="Q179" s="62"/>
      <c r="R179" s="112"/>
      <c r="S179" s="112"/>
      <c r="T179" s="112"/>
      <c r="U179" s="112"/>
      <c r="V179" s="112"/>
      <c r="W179" s="112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</row>
    <row r="180" spans="1:77" ht="15">
      <c r="A180" s="287">
        <v>119</v>
      </c>
      <c r="B180" s="318" t="s">
        <v>290</v>
      </c>
      <c r="C180" s="194" t="s">
        <v>193</v>
      </c>
      <c r="D180" s="194"/>
      <c r="E180" s="195">
        <f>'[1]M S'!G23</f>
        <v>2888.2371794871797</v>
      </c>
      <c r="F180" s="196">
        <f>'[1]M S'!K23</f>
        <v>130.13</v>
      </c>
      <c r="G180" s="196"/>
      <c r="H180" s="196"/>
      <c r="I180" s="196">
        <f>'[1]M S'!W23</f>
        <v>6400</v>
      </c>
      <c r="J180" s="196">
        <f>SUM(E180:I180)</f>
        <v>9418.36717948718</v>
      </c>
      <c r="K180" s="41"/>
      <c r="L180" s="41"/>
      <c r="M180" s="41"/>
      <c r="N180" s="41"/>
      <c r="O180" s="41"/>
      <c r="P180" s="41"/>
      <c r="Q180" s="62"/>
      <c r="R180" s="112"/>
      <c r="S180" s="112"/>
      <c r="T180" s="112"/>
      <c r="U180" s="112"/>
      <c r="V180" s="112"/>
      <c r="W180" s="112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</row>
    <row r="181" spans="1:77" ht="15">
      <c r="A181" s="287">
        <v>120</v>
      </c>
      <c r="B181" s="330" t="s">
        <v>291</v>
      </c>
      <c r="C181" s="33" t="s">
        <v>194</v>
      </c>
      <c r="D181" s="33"/>
      <c r="E181" s="198"/>
      <c r="F181" s="199"/>
      <c r="G181" s="199"/>
      <c r="H181" s="199"/>
      <c r="I181" s="199"/>
      <c r="J181" s="199"/>
      <c r="K181" s="41"/>
      <c r="L181" s="41"/>
      <c r="M181" s="41"/>
      <c r="N181" s="41"/>
      <c r="O181" s="41"/>
      <c r="P181" s="41"/>
      <c r="Q181" s="62"/>
      <c r="R181" s="112"/>
      <c r="S181" s="112"/>
      <c r="T181" s="112"/>
      <c r="U181" s="112"/>
      <c r="V181" s="112"/>
      <c r="W181" s="112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</row>
    <row r="182" spans="1:77" ht="15">
      <c r="A182" s="287" t="s">
        <v>195</v>
      </c>
      <c r="B182" s="318" t="s">
        <v>289</v>
      </c>
      <c r="C182" s="194" t="s">
        <v>192</v>
      </c>
      <c r="D182" s="194"/>
      <c r="E182" s="195">
        <f>'[1]M  MBD'!G15</f>
        <v>559.3349358974359</v>
      </c>
      <c r="F182" s="196"/>
      <c r="G182" s="196"/>
      <c r="H182" s="196"/>
      <c r="I182" s="196">
        <f>'[1]M  MBD'!W15</f>
        <v>900</v>
      </c>
      <c r="J182" s="196">
        <f>SUM(E182:I182)</f>
        <v>1459.334935897436</v>
      </c>
      <c r="K182" s="41"/>
      <c r="L182" s="41"/>
      <c r="M182" s="41"/>
      <c r="N182" s="41"/>
      <c r="O182" s="41"/>
      <c r="P182" s="41"/>
      <c r="Q182" s="62"/>
      <c r="R182" s="112"/>
      <c r="S182" s="112"/>
      <c r="T182" s="112"/>
      <c r="U182" s="112"/>
      <c r="V182" s="112"/>
      <c r="W182" s="112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</row>
    <row r="183" spans="1:77" ht="15">
      <c r="A183" s="287">
        <v>120</v>
      </c>
      <c r="B183" s="318" t="s">
        <v>290</v>
      </c>
      <c r="C183" s="194" t="s">
        <v>193</v>
      </c>
      <c r="D183" s="194"/>
      <c r="E183" s="195">
        <f>'[1]M  MBD'!G24</f>
        <v>2766.6426282051284</v>
      </c>
      <c r="F183" s="196">
        <f>'[1]M  MBD'!K24</f>
        <v>243.99375</v>
      </c>
      <c r="G183" s="196"/>
      <c r="H183" s="196"/>
      <c r="I183" s="196">
        <f>'[1]M  MBD'!W24</f>
        <v>6400</v>
      </c>
      <c r="J183" s="196">
        <f>SUM(E183:I183)</f>
        <v>9410.636378205128</v>
      </c>
      <c r="K183" s="41"/>
      <c r="L183" s="41"/>
      <c r="M183" s="41"/>
      <c r="N183" s="41"/>
      <c r="O183" s="41"/>
      <c r="P183" s="41"/>
      <c r="Q183" s="62"/>
      <c r="R183" s="112"/>
      <c r="S183" s="112"/>
      <c r="T183" s="112"/>
      <c r="U183" s="112"/>
      <c r="V183" s="112"/>
      <c r="W183" s="112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</row>
    <row r="184" spans="1:77" ht="15">
      <c r="A184" s="287">
        <v>121</v>
      </c>
      <c r="B184" s="164" t="s">
        <v>292</v>
      </c>
      <c r="C184" s="33" t="s">
        <v>196</v>
      </c>
      <c r="D184" s="33"/>
      <c r="E184" s="198">
        <f>'[1]M CMD'!G14</f>
        <v>267.5080128205128</v>
      </c>
      <c r="F184" s="199"/>
      <c r="G184" s="199"/>
      <c r="H184" s="199"/>
      <c r="I184" s="199">
        <f>'[1]M CMD'!W14</f>
        <v>900</v>
      </c>
      <c r="J184" s="199">
        <f>SUM(E184:I184)</f>
        <v>1167.5080128205127</v>
      </c>
      <c r="K184" s="41"/>
      <c r="L184" s="41"/>
      <c r="M184" s="41"/>
      <c r="N184" s="41"/>
      <c r="O184" s="41"/>
      <c r="P184" s="41"/>
      <c r="Q184" s="62"/>
      <c r="R184" s="112"/>
      <c r="S184" s="112"/>
      <c r="T184" s="112"/>
      <c r="U184" s="112"/>
      <c r="V184" s="112"/>
      <c r="W184" s="112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</row>
    <row r="185" spans="1:77" ht="15">
      <c r="A185" s="287" t="s">
        <v>197</v>
      </c>
      <c r="B185" s="331" t="s">
        <v>293</v>
      </c>
      <c r="C185" s="349" t="s">
        <v>198</v>
      </c>
      <c r="D185" s="33"/>
      <c r="E185" s="198"/>
      <c r="F185" s="199"/>
      <c r="G185" s="199"/>
      <c r="H185" s="199"/>
      <c r="I185" s="199"/>
      <c r="J185" s="199"/>
      <c r="K185" s="41"/>
      <c r="L185" s="41"/>
      <c r="M185" s="41"/>
      <c r="N185" s="41"/>
      <c r="O185" s="41"/>
      <c r="P185" s="41"/>
      <c r="Q185" s="62"/>
      <c r="R185" s="112"/>
      <c r="S185" s="112"/>
      <c r="T185" s="112"/>
      <c r="U185" s="112"/>
      <c r="V185" s="112"/>
      <c r="W185" s="112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</row>
    <row r="186" spans="1:77" ht="15">
      <c r="A186" s="287">
        <v>122</v>
      </c>
      <c r="B186" s="331" t="s">
        <v>294</v>
      </c>
      <c r="C186" s="350" t="s">
        <v>192</v>
      </c>
      <c r="D186" s="194"/>
      <c r="E186" s="195">
        <f>'[1]M ADA'!G14</f>
        <v>267.5080128205128</v>
      </c>
      <c r="F186" s="196"/>
      <c r="G186" s="196"/>
      <c r="H186" s="196"/>
      <c r="I186" s="196">
        <f>'[1]M ADA'!W14</f>
        <v>900</v>
      </c>
      <c r="J186" s="196">
        <f>SUM(E186:I186)</f>
        <v>1167.5080128205127</v>
      </c>
      <c r="K186" s="41"/>
      <c r="L186" s="41"/>
      <c r="M186" s="41"/>
      <c r="N186" s="41"/>
      <c r="O186" s="41"/>
      <c r="P186" s="41"/>
      <c r="Q186" s="62"/>
      <c r="R186" s="112"/>
      <c r="S186" s="112"/>
      <c r="T186" s="112"/>
      <c r="U186" s="112"/>
      <c r="V186" s="112"/>
      <c r="W186" s="112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</row>
    <row r="187" spans="1:77" ht="15">
      <c r="A187" s="287">
        <v>123</v>
      </c>
      <c r="B187" s="331" t="s">
        <v>203</v>
      </c>
      <c r="C187" s="350" t="s">
        <v>199</v>
      </c>
      <c r="D187" s="194"/>
      <c r="E187" s="195">
        <f>'[1]M ADA'!G20</f>
        <v>2596.4102564102564</v>
      </c>
      <c r="F187" s="196"/>
      <c r="G187" s="196"/>
      <c r="H187" s="196"/>
      <c r="I187" s="196">
        <f>'[1]M ADA'!W20</f>
        <v>6400</v>
      </c>
      <c r="J187" s="196">
        <f>SUM(E187:I187)</f>
        <v>8996.410256410256</v>
      </c>
      <c r="K187" s="41"/>
      <c r="L187" s="41"/>
      <c r="M187" s="41"/>
      <c r="N187" s="41"/>
      <c r="O187" s="41"/>
      <c r="P187" s="41"/>
      <c r="Q187" s="62"/>
      <c r="R187" s="112"/>
      <c r="S187" s="112"/>
      <c r="T187" s="112"/>
      <c r="U187" s="112"/>
      <c r="V187" s="112"/>
      <c r="W187" s="112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</row>
    <row r="188" spans="1:77" ht="15">
      <c r="A188" s="287">
        <v>124</v>
      </c>
      <c r="B188" s="287"/>
      <c r="C188" s="33" t="s">
        <v>200</v>
      </c>
      <c r="D188" s="33"/>
      <c r="E188" s="198">
        <f>'[1]M CAPD'!G14</f>
        <v>812.0432692307692</v>
      </c>
      <c r="F188" s="199"/>
      <c r="G188" s="199"/>
      <c r="H188" s="199"/>
      <c r="I188" s="199">
        <f>'[1]M CAPD'!W14</f>
        <v>1050</v>
      </c>
      <c r="J188" s="199">
        <f>SUM(E188:I188)</f>
        <v>1862.043269230769</v>
      </c>
      <c r="K188" s="41"/>
      <c r="L188" s="41"/>
      <c r="M188" s="41"/>
      <c r="N188" s="41"/>
      <c r="O188" s="41"/>
      <c r="P188" s="41"/>
      <c r="Q188" s="62"/>
      <c r="R188" s="112"/>
      <c r="S188" s="112"/>
      <c r="T188" s="112"/>
      <c r="U188" s="112"/>
      <c r="V188" s="112"/>
      <c r="W188" s="112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</row>
    <row r="189" spans="1:77" ht="15">
      <c r="A189" s="287">
        <v>125</v>
      </c>
      <c r="B189" s="287"/>
      <c r="C189" s="33" t="s">
        <v>201</v>
      </c>
      <c r="D189" s="33"/>
      <c r="E189" s="198"/>
      <c r="F189" s="199"/>
      <c r="G189" s="199"/>
      <c r="H189" s="199"/>
      <c r="I189" s="199"/>
      <c r="J189" s="199"/>
      <c r="K189" s="41"/>
      <c r="L189" s="41"/>
      <c r="M189" s="41"/>
      <c r="N189" s="41"/>
      <c r="O189" s="41"/>
      <c r="P189" s="41"/>
      <c r="Q189" s="62"/>
      <c r="R189" s="112"/>
      <c r="S189" s="112"/>
      <c r="T189" s="112"/>
      <c r="U189" s="112"/>
      <c r="V189" s="112"/>
      <c r="W189" s="112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</row>
    <row r="190" spans="1:77" ht="15">
      <c r="A190" s="287">
        <v>126</v>
      </c>
      <c r="B190" s="287"/>
      <c r="C190" s="33" t="s">
        <v>202</v>
      </c>
      <c r="D190" s="33"/>
      <c r="E190" s="198">
        <f>'[1]M GPD'!$G$14</f>
        <v>559.3349358974359</v>
      </c>
      <c r="F190" s="199"/>
      <c r="G190" s="199"/>
      <c r="H190" s="199"/>
      <c r="I190" s="199">
        <f>'[1]M GPD'!$W$14</f>
        <v>1050</v>
      </c>
      <c r="J190" s="199">
        <f>SUM(E190:I190)</f>
        <v>1609.334935897436</v>
      </c>
      <c r="K190" s="41"/>
      <c r="L190" s="41"/>
      <c r="M190" s="41"/>
      <c r="N190" s="41"/>
      <c r="O190" s="41"/>
      <c r="P190" s="41"/>
      <c r="Q190" s="62"/>
      <c r="R190" s="112"/>
      <c r="S190" s="112"/>
      <c r="T190" s="112"/>
      <c r="U190" s="112"/>
      <c r="V190" s="112"/>
      <c r="W190" s="112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</row>
    <row r="191" spans="1:77" ht="15">
      <c r="A191" s="296">
        <v>127</v>
      </c>
      <c r="B191" s="296"/>
      <c r="C191" s="33" t="s">
        <v>203</v>
      </c>
      <c r="D191" s="33"/>
      <c r="E191" s="198">
        <f>'[1] M E'!G13</f>
        <v>559.3349358974359</v>
      </c>
      <c r="F191" s="199"/>
      <c r="G191" s="199"/>
      <c r="H191" s="199"/>
      <c r="I191" s="199">
        <f>'[1] M E'!W13</f>
        <v>1050</v>
      </c>
      <c r="J191" s="199">
        <f>SUM(E191:I191)</f>
        <v>1609.334935897436</v>
      </c>
      <c r="K191" s="41"/>
      <c r="L191" s="41"/>
      <c r="M191" s="41"/>
      <c r="N191" s="41"/>
      <c r="O191" s="41"/>
      <c r="P191" s="41"/>
      <c r="Q191" s="62"/>
      <c r="R191" s="112"/>
      <c r="S191" s="112"/>
      <c r="T191" s="112"/>
      <c r="U191" s="112"/>
      <c r="V191" s="112"/>
      <c r="W191" s="112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</row>
    <row r="192" spans="1:77" s="150" customFormat="1" ht="15">
      <c r="A192" s="202"/>
      <c r="B192" s="346" t="s">
        <v>204</v>
      </c>
      <c r="C192" s="203" t="s">
        <v>204</v>
      </c>
      <c r="D192" s="204"/>
      <c r="E192" s="202"/>
      <c r="F192" s="145"/>
      <c r="G192" s="145"/>
      <c r="H192" s="145"/>
      <c r="I192" s="145"/>
      <c r="J192" s="145"/>
      <c r="K192" s="280"/>
      <c r="L192" s="280"/>
      <c r="M192" s="280"/>
      <c r="N192" s="281"/>
      <c r="O192" s="282"/>
      <c r="P192" s="283"/>
      <c r="Q192" s="283"/>
      <c r="R192" s="280"/>
      <c r="S192" s="280"/>
      <c r="T192" s="283"/>
      <c r="U192" s="280"/>
      <c r="V192" s="283"/>
      <c r="W192" s="280"/>
      <c r="X192" s="283"/>
      <c r="Y192" s="280"/>
      <c r="Z192" s="283"/>
      <c r="AA192" s="280"/>
      <c r="AB192" s="283"/>
      <c r="AC192" s="280"/>
      <c r="AD192" s="283"/>
      <c r="AE192" s="280"/>
      <c r="AF192" s="283"/>
      <c r="AG192" s="280"/>
      <c r="AH192" s="283"/>
      <c r="AI192" s="280"/>
      <c r="AJ192" s="280"/>
      <c r="AK192" s="280"/>
      <c r="AL192" s="280"/>
      <c r="AM192" s="280"/>
      <c r="AN192" s="280"/>
      <c r="AO192" s="280"/>
      <c r="AP192" s="280"/>
      <c r="AQ192" s="280"/>
      <c r="AR192" s="280"/>
      <c r="AS192" s="280"/>
      <c r="AT192" s="280"/>
      <c r="AU192" s="280"/>
      <c r="AV192" s="280"/>
      <c r="AW192" s="280"/>
      <c r="AX192" s="280"/>
      <c r="AY192" s="280"/>
      <c r="AZ192" s="280"/>
      <c r="BA192" s="280"/>
      <c r="BB192" s="280"/>
      <c r="BC192" s="280"/>
      <c r="BD192" s="280"/>
      <c r="BE192" s="280"/>
      <c r="BF192" s="280"/>
      <c r="BG192" s="280"/>
      <c r="BH192" s="280"/>
      <c r="BI192" s="280"/>
      <c r="BJ192" s="280"/>
      <c r="BK192" s="280"/>
      <c r="BL192" s="280"/>
      <c r="BM192" s="280"/>
      <c r="BN192" s="280"/>
      <c r="BO192" s="280"/>
      <c r="BP192" s="280"/>
      <c r="BQ192" s="280"/>
      <c r="BR192" s="280"/>
      <c r="BS192" s="280"/>
      <c r="BT192" s="280"/>
      <c r="BU192" s="280"/>
      <c r="BV192" s="280"/>
      <c r="BW192" s="280"/>
      <c r="BX192" s="280"/>
      <c r="BY192" s="280"/>
    </row>
    <row r="193" spans="1:77" s="48" customFormat="1" ht="15">
      <c r="A193" s="205">
        <v>128</v>
      </c>
      <c r="B193" s="343" t="s">
        <v>205</v>
      </c>
      <c r="C193" s="186" t="s">
        <v>205</v>
      </c>
      <c r="D193" s="206" t="s">
        <v>40</v>
      </c>
      <c r="E193" s="205"/>
      <c r="F193" s="45"/>
      <c r="G193" s="45"/>
      <c r="H193" s="45"/>
      <c r="I193" s="45"/>
      <c r="J193" s="45"/>
      <c r="K193" s="51"/>
      <c r="L193" s="51"/>
      <c r="M193" s="51"/>
      <c r="N193" s="279"/>
      <c r="O193" s="264"/>
      <c r="P193" s="219"/>
      <c r="Q193" s="219"/>
      <c r="R193" s="51"/>
      <c r="S193" s="51"/>
      <c r="T193" s="219"/>
      <c r="U193" s="51"/>
      <c r="V193" s="219"/>
      <c r="W193" s="51"/>
      <c r="X193" s="219"/>
      <c r="Y193" s="51"/>
      <c r="Z193" s="219"/>
      <c r="AA193" s="51"/>
      <c r="AB193" s="219"/>
      <c r="AC193" s="51"/>
      <c r="AD193" s="219"/>
      <c r="AE193" s="51"/>
      <c r="AF193" s="219"/>
      <c r="AG193" s="51"/>
      <c r="AH193" s="219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</row>
    <row r="194" spans="1:77" s="48" customFormat="1" ht="15">
      <c r="A194" s="205">
        <v>129</v>
      </c>
      <c r="B194" s="343" t="s">
        <v>206</v>
      </c>
      <c r="C194" s="186" t="s">
        <v>206</v>
      </c>
      <c r="D194" s="206" t="s">
        <v>42</v>
      </c>
      <c r="E194" s="205"/>
      <c r="F194" s="45"/>
      <c r="G194" s="45"/>
      <c r="H194" s="45"/>
      <c r="I194" s="45"/>
      <c r="J194" s="45">
        <v>13500</v>
      </c>
      <c r="K194" s="51"/>
      <c r="L194" s="51"/>
      <c r="M194" s="51"/>
      <c r="N194" s="279"/>
      <c r="O194" s="264"/>
      <c r="P194" s="219"/>
      <c r="Q194" s="219"/>
      <c r="R194" s="51"/>
      <c r="S194" s="51"/>
      <c r="T194" s="219"/>
      <c r="U194" s="51"/>
      <c r="V194" s="219"/>
      <c r="W194" s="51"/>
      <c r="X194" s="219"/>
      <c r="Y194" s="51"/>
      <c r="Z194" s="219"/>
      <c r="AA194" s="51"/>
      <c r="AB194" s="219"/>
      <c r="AC194" s="51"/>
      <c r="AD194" s="219"/>
      <c r="AE194" s="51"/>
      <c r="AF194" s="219"/>
      <c r="AG194" s="51"/>
      <c r="AH194" s="219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</row>
    <row r="195" spans="1:77" s="233" customFormat="1" ht="15">
      <c r="A195" s="260">
        <v>130</v>
      </c>
      <c r="B195" s="343" t="s">
        <v>207</v>
      </c>
      <c r="C195" s="235" t="s">
        <v>207</v>
      </c>
      <c r="D195" s="261" t="s">
        <v>40</v>
      </c>
      <c r="E195" s="260"/>
      <c r="F195" s="229"/>
      <c r="G195" s="229"/>
      <c r="H195" s="229"/>
      <c r="I195" s="229"/>
      <c r="J195" s="229"/>
      <c r="K195" s="275"/>
      <c r="L195" s="275"/>
      <c r="M195" s="275"/>
      <c r="N195" s="276"/>
      <c r="O195" s="277"/>
      <c r="P195" s="278"/>
      <c r="Q195" s="278"/>
      <c r="R195" s="275"/>
      <c r="S195" s="275"/>
      <c r="T195" s="278"/>
      <c r="U195" s="275"/>
      <c r="V195" s="278"/>
      <c r="W195" s="275"/>
      <c r="X195" s="278"/>
      <c r="Y195" s="275"/>
      <c r="Z195" s="278"/>
      <c r="AA195" s="275"/>
      <c r="AB195" s="278"/>
      <c r="AC195" s="275"/>
      <c r="AD195" s="278"/>
      <c r="AE195" s="275"/>
      <c r="AF195" s="278"/>
      <c r="AG195" s="275"/>
      <c r="AH195" s="278"/>
      <c r="AI195" s="275"/>
      <c r="AJ195" s="275"/>
      <c r="AK195" s="275"/>
      <c r="AL195" s="275"/>
      <c r="AM195" s="275"/>
      <c r="AN195" s="275"/>
      <c r="AO195" s="275"/>
      <c r="AP195" s="275"/>
      <c r="AQ195" s="275"/>
      <c r="AR195" s="275"/>
      <c r="AS195" s="275"/>
      <c r="AT195" s="275"/>
      <c r="AU195" s="275"/>
      <c r="AV195" s="275"/>
      <c r="AW195" s="275"/>
      <c r="AX195" s="275"/>
      <c r="AY195" s="275"/>
      <c r="AZ195" s="275"/>
      <c r="BA195" s="275"/>
      <c r="BB195" s="275"/>
      <c r="BC195" s="275"/>
      <c r="BD195" s="275"/>
      <c r="BE195" s="275"/>
      <c r="BF195" s="275"/>
      <c r="BG195" s="275"/>
      <c r="BH195" s="275"/>
      <c r="BI195" s="275"/>
      <c r="BJ195" s="275"/>
      <c r="BK195" s="275"/>
      <c r="BL195" s="275"/>
      <c r="BM195" s="275"/>
      <c r="BN195" s="275"/>
      <c r="BO195" s="275"/>
      <c r="BP195" s="275"/>
      <c r="BQ195" s="275"/>
      <c r="BR195" s="275"/>
      <c r="BS195" s="275"/>
      <c r="BT195" s="275"/>
      <c r="BU195" s="275"/>
      <c r="BV195" s="275"/>
      <c r="BW195" s="275"/>
      <c r="BX195" s="275"/>
      <c r="BY195" s="275"/>
    </row>
    <row r="196" spans="1:77" s="48" customFormat="1" ht="15">
      <c r="A196" s="205">
        <v>131</v>
      </c>
      <c r="B196" s="343" t="s">
        <v>208</v>
      </c>
      <c r="C196" s="186" t="s">
        <v>208</v>
      </c>
      <c r="D196" s="206" t="s">
        <v>40</v>
      </c>
      <c r="E196" s="205"/>
      <c r="F196" s="45"/>
      <c r="G196" s="45"/>
      <c r="H196" s="45"/>
      <c r="I196" s="45"/>
      <c r="J196" s="45">
        <v>2000</v>
      </c>
      <c r="K196" s="51"/>
      <c r="L196" s="51"/>
      <c r="M196" s="51"/>
      <c r="N196" s="279"/>
      <c r="O196" s="264"/>
      <c r="P196" s="219"/>
      <c r="Q196" s="219"/>
      <c r="R196" s="51"/>
      <c r="S196" s="51"/>
      <c r="T196" s="219"/>
      <c r="U196" s="51"/>
      <c r="V196" s="219"/>
      <c r="W196" s="51"/>
      <c r="X196" s="219"/>
      <c r="Y196" s="51"/>
      <c r="Z196" s="219"/>
      <c r="AA196" s="51"/>
      <c r="AB196" s="219"/>
      <c r="AC196" s="51"/>
      <c r="AD196" s="219"/>
      <c r="AE196" s="51"/>
      <c r="AF196" s="219"/>
      <c r="AG196" s="51"/>
      <c r="AH196" s="219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</row>
    <row r="197" spans="1:77" s="48" customFormat="1" ht="15">
      <c r="A197" s="205">
        <v>132</v>
      </c>
      <c r="B197" s="343" t="s">
        <v>209</v>
      </c>
      <c r="C197" s="186" t="s">
        <v>209</v>
      </c>
      <c r="D197" s="206" t="s">
        <v>40</v>
      </c>
      <c r="E197" s="205"/>
      <c r="F197" s="45"/>
      <c r="G197" s="45"/>
      <c r="H197" s="45"/>
      <c r="I197" s="45"/>
      <c r="J197" s="45">
        <v>2000</v>
      </c>
      <c r="K197" s="51"/>
      <c r="L197" s="51"/>
      <c r="M197" s="51"/>
      <c r="N197" s="279"/>
      <c r="O197" s="264"/>
      <c r="P197" s="219"/>
      <c r="Q197" s="219"/>
      <c r="R197" s="51"/>
      <c r="S197" s="51"/>
      <c r="T197" s="219"/>
      <c r="U197" s="51"/>
      <c r="V197" s="219"/>
      <c r="W197" s="51"/>
      <c r="X197" s="219"/>
      <c r="Y197" s="51"/>
      <c r="Z197" s="219"/>
      <c r="AA197" s="51"/>
      <c r="AB197" s="219"/>
      <c r="AC197" s="51"/>
      <c r="AD197" s="219"/>
      <c r="AE197" s="51"/>
      <c r="AF197" s="219"/>
      <c r="AG197" s="51"/>
      <c r="AH197" s="219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</row>
    <row r="198" spans="1:77" s="48" customFormat="1" ht="15">
      <c r="A198" s="205">
        <v>133</v>
      </c>
      <c r="B198" s="343" t="s">
        <v>210</v>
      </c>
      <c r="C198" s="186" t="s">
        <v>210</v>
      </c>
      <c r="D198" s="206" t="s">
        <v>134</v>
      </c>
      <c r="E198" s="205"/>
      <c r="F198" s="45"/>
      <c r="G198" s="45"/>
      <c r="H198" s="45"/>
      <c r="I198" s="45"/>
      <c r="J198" s="45">
        <v>1000</v>
      </c>
      <c r="K198" s="51"/>
      <c r="L198" s="51"/>
      <c r="M198" s="51"/>
      <c r="N198" s="279"/>
      <c r="O198" s="264"/>
      <c r="P198" s="219"/>
      <c r="Q198" s="219"/>
      <c r="R198" s="51"/>
      <c r="S198" s="51"/>
      <c r="T198" s="219"/>
      <c r="U198" s="51"/>
      <c r="V198" s="219"/>
      <c r="W198" s="51"/>
      <c r="X198" s="219"/>
      <c r="Y198" s="51"/>
      <c r="Z198" s="219"/>
      <c r="AA198" s="51"/>
      <c r="AB198" s="219"/>
      <c r="AC198" s="51"/>
      <c r="AD198" s="219"/>
      <c r="AE198" s="51"/>
      <c r="AF198" s="219"/>
      <c r="AG198" s="51"/>
      <c r="AH198" s="219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</row>
    <row r="199" spans="1:77" s="48" customFormat="1" ht="30">
      <c r="A199" s="205">
        <v>134</v>
      </c>
      <c r="B199" s="343" t="s">
        <v>211</v>
      </c>
      <c r="C199" s="186" t="s">
        <v>211</v>
      </c>
      <c r="D199" s="206" t="s">
        <v>40</v>
      </c>
      <c r="E199" s="205"/>
      <c r="F199" s="45"/>
      <c r="G199" s="45"/>
      <c r="H199" s="45"/>
      <c r="I199" s="45"/>
      <c r="J199" s="45">
        <v>2000</v>
      </c>
      <c r="K199" s="51"/>
      <c r="L199" s="51"/>
      <c r="M199" s="51"/>
      <c r="N199" s="279"/>
      <c r="O199" s="264"/>
      <c r="P199" s="219"/>
      <c r="Q199" s="219"/>
      <c r="R199" s="51"/>
      <c r="S199" s="51"/>
      <c r="T199" s="219"/>
      <c r="U199" s="51"/>
      <c r="V199" s="219"/>
      <c r="W199" s="51"/>
      <c r="X199" s="219"/>
      <c r="Y199" s="51"/>
      <c r="Z199" s="219"/>
      <c r="AA199" s="51"/>
      <c r="AB199" s="219"/>
      <c r="AC199" s="51"/>
      <c r="AD199" s="219"/>
      <c r="AE199" s="51"/>
      <c r="AF199" s="219"/>
      <c r="AG199" s="51"/>
      <c r="AH199" s="219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</row>
    <row r="200" spans="1:77" s="162" customFormat="1" ht="15">
      <c r="A200" s="207">
        <v>135</v>
      </c>
      <c r="B200" s="331" t="s">
        <v>212</v>
      </c>
      <c r="C200" s="208" t="s">
        <v>212</v>
      </c>
      <c r="D200" s="209" t="s">
        <v>134</v>
      </c>
      <c r="E200" s="207"/>
      <c r="F200" s="210"/>
      <c r="G200" s="210"/>
      <c r="H200" s="210"/>
      <c r="I200" s="210"/>
      <c r="J200" s="210">
        <v>200</v>
      </c>
      <c r="K200" s="158"/>
      <c r="L200" s="158"/>
      <c r="M200" s="158"/>
      <c r="N200" s="159"/>
      <c r="O200" s="285"/>
      <c r="P200" s="161"/>
      <c r="Q200" s="161"/>
      <c r="R200" s="158"/>
      <c r="S200" s="158"/>
      <c r="T200" s="161"/>
      <c r="U200" s="158"/>
      <c r="V200" s="161"/>
      <c r="W200" s="158"/>
      <c r="X200" s="161"/>
      <c r="Y200" s="158"/>
      <c r="Z200" s="161"/>
      <c r="AA200" s="158"/>
      <c r="AB200" s="161"/>
      <c r="AC200" s="158"/>
      <c r="AD200" s="161"/>
      <c r="AE200" s="158"/>
      <c r="AF200" s="161"/>
      <c r="AG200" s="158"/>
      <c r="AH200" s="161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</row>
    <row r="201" spans="1:77" s="162" customFormat="1" ht="15">
      <c r="A201" s="207">
        <v>136</v>
      </c>
      <c r="B201" s="331" t="s">
        <v>213</v>
      </c>
      <c r="C201" s="208" t="s">
        <v>213</v>
      </c>
      <c r="D201" s="209" t="s">
        <v>134</v>
      </c>
      <c r="E201" s="207"/>
      <c r="F201" s="210"/>
      <c r="G201" s="210"/>
      <c r="H201" s="210"/>
      <c r="I201" s="210"/>
      <c r="J201" s="210">
        <v>1000</v>
      </c>
      <c r="K201" s="158"/>
      <c r="L201" s="158"/>
      <c r="M201" s="158"/>
      <c r="N201" s="159"/>
      <c r="O201" s="160"/>
      <c r="P201" s="161"/>
      <c r="Q201" s="161"/>
      <c r="R201" s="158"/>
      <c r="S201" s="158"/>
      <c r="T201" s="161"/>
      <c r="U201" s="158"/>
      <c r="V201" s="161"/>
      <c r="W201" s="158"/>
      <c r="X201" s="161"/>
      <c r="Y201" s="158"/>
      <c r="Z201" s="161"/>
      <c r="AA201" s="158"/>
      <c r="AB201" s="161"/>
      <c r="AC201" s="158"/>
      <c r="AD201" s="161"/>
      <c r="AE201" s="158"/>
      <c r="AF201" s="161"/>
      <c r="AG201" s="158"/>
      <c r="AH201" s="161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</row>
    <row r="202" spans="1:77" s="162" customFormat="1" ht="30">
      <c r="A202" s="207">
        <v>137</v>
      </c>
      <c r="B202" s="331" t="s">
        <v>214</v>
      </c>
      <c r="C202" s="208" t="s">
        <v>214</v>
      </c>
      <c r="D202" s="209" t="s">
        <v>40</v>
      </c>
      <c r="E202" s="207"/>
      <c r="F202" s="210"/>
      <c r="G202" s="210"/>
      <c r="H202" s="210"/>
      <c r="I202" s="210"/>
      <c r="J202" s="210">
        <v>300</v>
      </c>
      <c r="K202" s="158"/>
      <c r="L202" s="158"/>
      <c r="M202" s="158"/>
      <c r="N202" s="159"/>
      <c r="O202" s="160"/>
      <c r="P202" s="161"/>
      <c r="Q202" s="161"/>
      <c r="R202" s="158"/>
      <c r="S202" s="158"/>
      <c r="T202" s="161"/>
      <c r="U202" s="158"/>
      <c r="V202" s="161"/>
      <c r="W202" s="158"/>
      <c r="X202" s="161"/>
      <c r="Y202" s="158"/>
      <c r="Z202" s="161"/>
      <c r="AA202" s="158"/>
      <c r="AB202" s="161"/>
      <c r="AC202" s="158"/>
      <c r="AD202" s="161"/>
      <c r="AE202" s="158"/>
      <c r="AF202" s="161"/>
      <c r="AG202" s="158"/>
      <c r="AH202" s="161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</row>
    <row r="203" spans="1:77" s="48" customFormat="1" ht="15">
      <c r="A203" s="205">
        <v>138</v>
      </c>
      <c r="B203" s="331" t="s">
        <v>215</v>
      </c>
      <c r="C203" s="185" t="s">
        <v>215</v>
      </c>
      <c r="D203" s="206" t="s">
        <v>134</v>
      </c>
      <c r="E203" s="205"/>
      <c r="F203" s="45"/>
      <c r="G203" s="45"/>
      <c r="H203" s="45"/>
      <c r="I203" s="45"/>
      <c r="J203" s="45"/>
      <c r="K203" s="51"/>
      <c r="L203" s="51"/>
      <c r="M203" s="51"/>
      <c r="N203" s="279"/>
      <c r="O203" s="264"/>
      <c r="P203" s="219"/>
      <c r="Q203" s="219"/>
      <c r="R203" s="51"/>
      <c r="S203" s="51"/>
      <c r="T203" s="219"/>
      <c r="U203" s="51"/>
      <c r="V203" s="219"/>
      <c r="W203" s="51"/>
      <c r="X203" s="219"/>
      <c r="Y203" s="51"/>
      <c r="Z203" s="219"/>
      <c r="AA203" s="51"/>
      <c r="AB203" s="219"/>
      <c r="AC203" s="51"/>
      <c r="AD203" s="219"/>
      <c r="AE203" s="51"/>
      <c r="AF203" s="219"/>
      <c r="AG203" s="51"/>
      <c r="AH203" s="219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</row>
    <row r="204" spans="1:77" s="48" customFormat="1" ht="15">
      <c r="A204" s="205">
        <v>137</v>
      </c>
      <c r="B204" s="331" t="s">
        <v>216</v>
      </c>
      <c r="C204" s="185" t="s">
        <v>216</v>
      </c>
      <c r="D204" s="206" t="s">
        <v>134</v>
      </c>
      <c r="E204" s="215">
        <f>2.37*3187.8658234127</f>
        <v>7555.2420014881</v>
      </c>
      <c r="F204" s="216">
        <f>2.37*3694</f>
        <v>8754.78</v>
      </c>
      <c r="G204" s="216">
        <f>2.37*7442</f>
        <v>17637.54</v>
      </c>
      <c r="H204" s="216">
        <f>2.37*5221.3048</f>
        <v>12374.492376</v>
      </c>
      <c r="I204" s="216">
        <f>2.37*7132.82943399676</f>
        <v>16904.80575857232</v>
      </c>
      <c r="J204" s="216">
        <f>2.37*1609.33493589744</f>
        <v>3814.123798076933</v>
      </c>
      <c r="K204" s="51"/>
      <c r="L204" s="51"/>
      <c r="M204" s="51"/>
      <c r="N204" s="279"/>
      <c r="O204" s="264"/>
      <c r="P204" s="219"/>
      <c r="Q204" s="219"/>
      <c r="R204" s="51"/>
      <c r="S204" s="51"/>
      <c r="T204" s="219"/>
      <c r="U204" s="51"/>
      <c r="V204" s="219"/>
      <c r="W204" s="51"/>
      <c r="X204" s="219"/>
      <c r="Y204" s="51"/>
      <c r="Z204" s="219"/>
      <c r="AA204" s="51"/>
      <c r="AB204" s="219"/>
      <c r="AC204" s="51"/>
      <c r="AD204" s="219"/>
      <c r="AE204" s="51"/>
      <c r="AF204" s="219"/>
      <c r="AG204" s="51"/>
      <c r="AH204" s="219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</row>
    <row r="205" spans="1:77" s="48" customFormat="1" ht="15">
      <c r="A205" s="205"/>
      <c r="B205" s="341" t="s">
        <v>217</v>
      </c>
      <c r="C205" s="217" t="s">
        <v>217</v>
      </c>
      <c r="D205" s="218"/>
      <c r="E205" s="205"/>
      <c r="F205" s="45"/>
      <c r="G205" s="45"/>
      <c r="H205" s="45"/>
      <c r="I205" s="45"/>
      <c r="J205" s="45"/>
      <c r="K205" s="51"/>
      <c r="L205" s="51"/>
      <c r="M205" s="51"/>
      <c r="N205" s="279"/>
      <c r="O205" s="264"/>
      <c r="P205" s="219"/>
      <c r="Q205" s="219"/>
      <c r="R205" s="51"/>
      <c r="S205" s="51"/>
      <c r="T205" s="219"/>
      <c r="U205" s="51"/>
      <c r="V205" s="219"/>
      <c r="W205" s="51"/>
      <c r="X205" s="219"/>
      <c r="Y205" s="51"/>
      <c r="Z205" s="219"/>
      <c r="AA205" s="51"/>
      <c r="AB205" s="219"/>
      <c r="AC205" s="51"/>
      <c r="AD205" s="219"/>
      <c r="AE205" s="51"/>
      <c r="AF205" s="219"/>
      <c r="AG205" s="51"/>
      <c r="AH205" s="219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</row>
    <row r="206" spans="1:77" s="48" customFormat="1" ht="15">
      <c r="A206" s="205">
        <v>141</v>
      </c>
      <c r="B206" s="331" t="s">
        <v>218</v>
      </c>
      <c r="C206" s="185" t="s">
        <v>218</v>
      </c>
      <c r="D206" s="206" t="s">
        <v>134</v>
      </c>
      <c r="E206" s="205"/>
      <c r="F206" s="45"/>
      <c r="G206" s="45"/>
      <c r="H206" s="45"/>
      <c r="I206" s="45"/>
      <c r="J206" s="45">
        <v>100</v>
      </c>
      <c r="K206" s="51"/>
      <c r="L206" s="51"/>
      <c r="M206" s="51"/>
      <c r="N206" s="279"/>
      <c r="O206" s="264"/>
      <c r="P206" s="219"/>
      <c r="Q206" s="219"/>
      <c r="R206" s="51"/>
      <c r="S206" s="51"/>
      <c r="T206" s="219"/>
      <c r="U206" s="51"/>
      <c r="V206" s="219"/>
      <c r="W206" s="51"/>
      <c r="X206" s="219"/>
      <c r="Y206" s="51"/>
      <c r="Z206" s="219"/>
      <c r="AA206" s="51"/>
      <c r="AB206" s="219"/>
      <c r="AC206" s="51"/>
      <c r="AD206" s="219"/>
      <c r="AE206" s="51"/>
      <c r="AF206" s="219"/>
      <c r="AG206" s="51"/>
      <c r="AH206" s="219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</row>
    <row r="207" spans="1:77" s="48" customFormat="1" ht="15">
      <c r="A207" s="205">
        <v>142</v>
      </c>
      <c r="B207" s="331" t="s">
        <v>219</v>
      </c>
      <c r="C207" s="185" t="s">
        <v>219</v>
      </c>
      <c r="D207" s="206" t="s">
        <v>42</v>
      </c>
      <c r="E207" s="205"/>
      <c r="F207" s="45"/>
      <c r="G207" s="45"/>
      <c r="H207" s="45"/>
      <c r="I207" s="45"/>
      <c r="J207" s="45">
        <v>2000</v>
      </c>
      <c r="K207" s="51"/>
      <c r="L207" s="51"/>
      <c r="M207" s="51"/>
      <c r="N207" s="279"/>
      <c r="O207" s="264"/>
      <c r="P207" s="219"/>
      <c r="Q207" s="219"/>
      <c r="R207" s="51"/>
      <c r="S207" s="51"/>
      <c r="T207" s="219"/>
      <c r="U207" s="51"/>
      <c r="V207" s="219"/>
      <c r="W207" s="51"/>
      <c r="X207" s="219"/>
      <c r="Y207" s="51"/>
      <c r="Z207" s="219"/>
      <c r="AA207" s="51"/>
      <c r="AB207" s="219"/>
      <c r="AC207" s="51"/>
      <c r="AD207" s="219"/>
      <c r="AE207" s="51"/>
      <c r="AF207" s="219"/>
      <c r="AG207" s="51"/>
      <c r="AH207" s="219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</row>
    <row r="208" spans="1:77" s="48" customFormat="1" ht="15">
      <c r="A208" s="205">
        <v>143</v>
      </c>
      <c r="B208" s="331" t="s">
        <v>220</v>
      </c>
      <c r="C208" s="185" t="s">
        <v>220</v>
      </c>
      <c r="D208" s="206" t="s">
        <v>42</v>
      </c>
      <c r="E208" s="205"/>
      <c r="F208" s="45"/>
      <c r="G208" s="45"/>
      <c r="H208" s="45"/>
      <c r="I208" s="45"/>
      <c r="J208" s="45">
        <v>3000</v>
      </c>
      <c r="K208" s="51"/>
      <c r="L208" s="51"/>
      <c r="M208" s="51"/>
      <c r="N208" s="279"/>
      <c r="O208" s="264"/>
      <c r="P208" s="219"/>
      <c r="Q208" s="219"/>
      <c r="R208" s="51"/>
      <c r="S208" s="51"/>
      <c r="T208" s="219"/>
      <c r="U208" s="51"/>
      <c r="V208" s="219"/>
      <c r="W208" s="51"/>
      <c r="X208" s="219"/>
      <c r="Y208" s="51"/>
      <c r="Z208" s="219"/>
      <c r="AA208" s="51"/>
      <c r="AB208" s="219"/>
      <c r="AC208" s="51"/>
      <c r="AD208" s="219"/>
      <c r="AE208" s="51"/>
      <c r="AF208" s="219"/>
      <c r="AG208" s="51"/>
      <c r="AH208" s="219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</row>
    <row r="209" spans="1:77" s="48" customFormat="1" ht="15">
      <c r="A209" s="205">
        <v>144</v>
      </c>
      <c r="B209" s="331" t="s">
        <v>221</v>
      </c>
      <c r="C209" s="185" t="s">
        <v>221</v>
      </c>
      <c r="D209" s="206" t="s">
        <v>42</v>
      </c>
      <c r="E209" s="205"/>
      <c r="F209" s="45"/>
      <c r="G209" s="45"/>
      <c r="H209" s="45"/>
      <c r="I209" s="45"/>
      <c r="J209" s="45">
        <v>200</v>
      </c>
      <c r="K209" s="51"/>
      <c r="L209" s="51"/>
      <c r="M209" s="51"/>
      <c r="N209" s="279"/>
      <c r="O209" s="264"/>
      <c r="P209" s="219"/>
      <c r="Q209" s="219"/>
      <c r="R209" s="51"/>
      <c r="S209" s="51"/>
      <c r="T209" s="219"/>
      <c r="U209" s="51"/>
      <c r="V209" s="219"/>
      <c r="W209" s="51"/>
      <c r="X209" s="219"/>
      <c r="Y209" s="51"/>
      <c r="Z209" s="219"/>
      <c r="AA209" s="51"/>
      <c r="AB209" s="219"/>
      <c r="AC209" s="51"/>
      <c r="AD209" s="219"/>
      <c r="AE209" s="51"/>
      <c r="AF209" s="219"/>
      <c r="AG209" s="51"/>
      <c r="AH209" s="219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</row>
    <row r="210" spans="1:77" s="48" customFormat="1" ht="15">
      <c r="A210" s="205">
        <v>145</v>
      </c>
      <c r="B210" s="331" t="s">
        <v>222</v>
      </c>
      <c r="C210" s="185" t="s">
        <v>222</v>
      </c>
      <c r="D210" s="206" t="s">
        <v>42</v>
      </c>
      <c r="E210" s="205"/>
      <c r="F210" s="45"/>
      <c r="G210" s="45"/>
      <c r="H210" s="45"/>
      <c r="I210" s="45"/>
      <c r="J210" s="45">
        <v>200</v>
      </c>
      <c r="K210" s="51"/>
      <c r="L210" s="51"/>
      <c r="M210" s="51"/>
      <c r="N210" s="279"/>
      <c r="O210" s="264"/>
      <c r="P210" s="219"/>
      <c r="Q210" s="219"/>
      <c r="R210" s="51"/>
      <c r="S210" s="51"/>
      <c r="T210" s="219"/>
      <c r="U210" s="51"/>
      <c r="V210" s="219"/>
      <c r="W210" s="51"/>
      <c r="X210" s="219"/>
      <c r="Y210" s="51"/>
      <c r="Z210" s="219"/>
      <c r="AA210" s="51"/>
      <c r="AB210" s="219"/>
      <c r="AC210" s="51"/>
      <c r="AD210" s="219"/>
      <c r="AE210" s="51"/>
      <c r="AF210" s="219"/>
      <c r="AG210" s="51"/>
      <c r="AH210" s="219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</row>
    <row r="211" spans="1:77" s="48" customFormat="1" ht="15">
      <c r="A211" s="205">
        <v>146</v>
      </c>
      <c r="B211" s="331" t="s">
        <v>223</v>
      </c>
      <c r="C211" s="185" t="s">
        <v>223</v>
      </c>
      <c r="D211" s="206" t="s">
        <v>42</v>
      </c>
      <c r="E211" s="205"/>
      <c r="F211" s="45"/>
      <c r="G211" s="45"/>
      <c r="H211" s="45"/>
      <c r="I211" s="45"/>
      <c r="J211" s="45">
        <v>3000</v>
      </c>
      <c r="K211" s="51"/>
      <c r="L211" s="51"/>
      <c r="M211" s="51"/>
      <c r="N211" s="279"/>
      <c r="O211" s="264"/>
      <c r="P211" s="219"/>
      <c r="Q211" s="219"/>
      <c r="R211" s="51"/>
      <c r="S211" s="51"/>
      <c r="T211" s="219"/>
      <c r="U211" s="51"/>
      <c r="V211" s="219"/>
      <c r="W211" s="51"/>
      <c r="X211" s="219"/>
      <c r="Y211" s="51"/>
      <c r="Z211" s="219"/>
      <c r="AA211" s="51"/>
      <c r="AB211" s="219"/>
      <c r="AC211" s="51"/>
      <c r="AD211" s="219"/>
      <c r="AE211" s="51"/>
      <c r="AF211" s="219"/>
      <c r="AG211" s="51"/>
      <c r="AH211" s="219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</row>
    <row r="212" spans="1:77" s="48" customFormat="1" ht="15">
      <c r="A212" s="205">
        <v>147</v>
      </c>
      <c r="B212" s="331" t="s">
        <v>224</v>
      </c>
      <c r="C212" s="185" t="s">
        <v>224</v>
      </c>
      <c r="D212" s="206" t="s">
        <v>40</v>
      </c>
      <c r="E212" s="205"/>
      <c r="F212" s="45"/>
      <c r="G212" s="45"/>
      <c r="H212" s="45"/>
      <c r="I212" s="45"/>
      <c r="J212" s="45">
        <v>200</v>
      </c>
      <c r="K212" s="51"/>
      <c r="L212" s="51"/>
      <c r="M212" s="51"/>
      <c r="N212" s="279"/>
      <c r="O212" s="264"/>
      <c r="P212" s="219"/>
      <c r="Q212" s="219"/>
      <c r="R212" s="51"/>
      <c r="S212" s="51"/>
      <c r="T212" s="219"/>
      <c r="U212" s="51"/>
      <c r="V212" s="219"/>
      <c r="W212" s="51"/>
      <c r="X212" s="219"/>
      <c r="Y212" s="51"/>
      <c r="Z212" s="219"/>
      <c r="AA212" s="51"/>
      <c r="AB212" s="219"/>
      <c r="AC212" s="51"/>
      <c r="AD212" s="219"/>
      <c r="AE212" s="51"/>
      <c r="AF212" s="219"/>
      <c r="AG212" s="51"/>
      <c r="AH212" s="219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</row>
    <row r="213" spans="1:77" s="48" customFormat="1" ht="15">
      <c r="A213" s="205">
        <v>148</v>
      </c>
      <c r="B213" s="331" t="s">
        <v>225</v>
      </c>
      <c r="C213" s="185" t="s">
        <v>225</v>
      </c>
      <c r="D213" s="206" t="s">
        <v>40</v>
      </c>
      <c r="E213" s="205"/>
      <c r="F213" s="45"/>
      <c r="G213" s="45"/>
      <c r="H213" s="45"/>
      <c r="I213" s="45"/>
      <c r="J213" s="45">
        <v>200</v>
      </c>
      <c r="K213" s="51"/>
      <c r="L213" s="51"/>
      <c r="M213" s="51"/>
      <c r="N213" s="279"/>
      <c r="O213" s="264"/>
      <c r="P213" s="219"/>
      <c r="Q213" s="219"/>
      <c r="R213" s="51"/>
      <c r="S213" s="51"/>
      <c r="T213" s="219"/>
      <c r="U213" s="51"/>
      <c r="V213" s="219"/>
      <c r="W213" s="51"/>
      <c r="X213" s="219"/>
      <c r="Y213" s="51"/>
      <c r="Z213" s="219"/>
      <c r="AA213" s="51"/>
      <c r="AB213" s="219"/>
      <c r="AC213" s="51"/>
      <c r="AD213" s="219"/>
      <c r="AE213" s="51"/>
      <c r="AF213" s="219"/>
      <c r="AG213" s="51"/>
      <c r="AH213" s="219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</row>
    <row r="214" spans="1:77" s="48" customFormat="1" ht="15">
      <c r="A214" s="205">
        <v>149</v>
      </c>
      <c r="B214" s="331" t="s">
        <v>226</v>
      </c>
      <c r="C214" s="185" t="s">
        <v>226</v>
      </c>
      <c r="D214" s="206" t="s">
        <v>42</v>
      </c>
      <c r="E214" s="205"/>
      <c r="F214" s="45"/>
      <c r="G214" s="45"/>
      <c r="H214" s="45"/>
      <c r="I214" s="45"/>
      <c r="J214" s="45">
        <v>1000</v>
      </c>
      <c r="K214" s="51"/>
      <c r="L214" s="51"/>
      <c r="M214" s="51"/>
      <c r="N214" s="279"/>
      <c r="O214" s="264"/>
      <c r="P214" s="219"/>
      <c r="Q214" s="219"/>
      <c r="R214" s="51"/>
      <c r="S214" s="51"/>
      <c r="T214" s="219"/>
      <c r="U214" s="51"/>
      <c r="V214" s="219"/>
      <c r="W214" s="51"/>
      <c r="X214" s="219"/>
      <c r="Y214" s="51"/>
      <c r="Z214" s="219"/>
      <c r="AA214" s="51"/>
      <c r="AB214" s="219"/>
      <c r="AC214" s="51"/>
      <c r="AD214" s="219"/>
      <c r="AE214" s="51"/>
      <c r="AF214" s="219"/>
      <c r="AG214" s="51"/>
      <c r="AH214" s="219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</row>
    <row r="215" spans="1:77" s="48" customFormat="1" ht="15">
      <c r="A215" s="205">
        <v>150</v>
      </c>
      <c r="B215" s="331" t="s">
        <v>227</v>
      </c>
      <c r="C215" s="185" t="s">
        <v>227</v>
      </c>
      <c r="D215" s="206" t="s">
        <v>42</v>
      </c>
      <c r="E215" s="205"/>
      <c r="F215" s="45"/>
      <c r="G215" s="45"/>
      <c r="H215" s="45"/>
      <c r="I215" s="45"/>
      <c r="J215" s="45">
        <v>1000</v>
      </c>
      <c r="K215" s="51"/>
      <c r="L215" s="51"/>
      <c r="M215" s="51"/>
      <c r="N215" s="279"/>
      <c r="O215" s="264"/>
      <c r="P215" s="219"/>
      <c r="Q215" s="219"/>
      <c r="R215" s="51"/>
      <c r="S215" s="51"/>
      <c r="T215" s="219"/>
      <c r="U215" s="51"/>
      <c r="V215" s="219"/>
      <c r="W215" s="51"/>
      <c r="X215" s="219"/>
      <c r="Y215" s="51"/>
      <c r="Z215" s="219"/>
      <c r="AA215" s="51"/>
      <c r="AB215" s="219"/>
      <c r="AC215" s="51"/>
      <c r="AD215" s="219"/>
      <c r="AE215" s="51"/>
      <c r="AF215" s="219"/>
      <c r="AG215" s="51"/>
      <c r="AH215" s="219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</row>
    <row r="216" spans="1:77" s="48" customFormat="1" ht="15">
      <c r="A216" s="205">
        <v>151</v>
      </c>
      <c r="B216" s="331" t="s">
        <v>228</v>
      </c>
      <c r="C216" s="185" t="s">
        <v>228</v>
      </c>
      <c r="D216" s="206" t="s">
        <v>40</v>
      </c>
      <c r="E216" s="205"/>
      <c r="F216" s="45"/>
      <c r="G216" s="45"/>
      <c r="H216" s="45"/>
      <c r="I216" s="45"/>
      <c r="J216" s="45">
        <v>1000</v>
      </c>
      <c r="K216" s="51"/>
      <c r="L216" s="51"/>
      <c r="M216" s="51"/>
      <c r="N216" s="279"/>
      <c r="O216" s="264"/>
      <c r="P216" s="219"/>
      <c r="Q216" s="219"/>
      <c r="R216" s="51"/>
      <c r="S216" s="51"/>
      <c r="T216" s="219"/>
      <c r="U216" s="51"/>
      <c r="V216" s="219"/>
      <c r="W216" s="51"/>
      <c r="X216" s="219"/>
      <c r="Y216" s="51"/>
      <c r="Z216" s="219"/>
      <c r="AA216" s="51"/>
      <c r="AB216" s="219"/>
      <c r="AC216" s="51"/>
      <c r="AD216" s="219"/>
      <c r="AE216" s="51"/>
      <c r="AF216" s="219"/>
      <c r="AG216" s="51"/>
      <c r="AH216" s="219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</row>
    <row r="217" spans="1:77" s="48" customFormat="1" ht="15">
      <c r="A217" s="205">
        <v>152</v>
      </c>
      <c r="B217" s="331" t="s">
        <v>229</v>
      </c>
      <c r="C217" s="185" t="s">
        <v>229</v>
      </c>
      <c r="D217" s="206" t="s">
        <v>42</v>
      </c>
      <c r="E217" s="205"/>
      <c r="F217" s="45"/>
      <c r="G217" s="45"/>
      <c r="H217" s="45"/>
      <c r="I217" s="45"/>
      <c r="J217" s="45">
        <v>1000</v>
      </c>
      <c r="K217" s="51"/>
      <c r="L217" s="51"/>
      <c r="M217" s="51"/>
      <c r="N217" s="279"/>
      <c r="O217" s="264"/>
      <c r="P217" s="219"/>
      <c r="Q217" s="219"/>
      <c r="R217" s="51"/>
      <c r="S217" s="51"/>
      <c r="T217" s="219"/>
      <c r="U217" s="51"/>
      <c r="V217" s="219"/>
      <c r="W217" s="51"/>
      <c r="X217" s="219"/>
      <c r="Y217" s="51"/>
      <c r="Z217" s="219"/>
      <c r="AA217" s="51"/>
      <c r="AB217" s="219"/>
      <c r="AC217" s="51"/>
      <c r="AD217" s="219"/>
      <c r="AE217" s="51"/>
      <c r="AF217" s="219"/>
      <c r="AG217" s="51"/>
      <c r="AH217" s="219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</row>
    <row r="218" spans="1:77" s="48" customFormat="1" ht="15">
      <c r="A218" s="205">
        <v>153</v>
      </c>
      <c r="B218" s="331" t="s">
        <v>230</v>
      </c>
      <c r="C218" s="185" t="s">
        <v>230</v>
      </c>
      <c r="D218" s="206" t="s">
        <v>40</v>
      </c>
      <c r="E218" s="205"/>
      <c r="F218" s="45"/>
      <c r="G218" s="45"/>
      <c r="H218" s="45"/>
      <c r="I218" s="45"/>
      <c r="J218" s="45">
        <v>200</v>
      </c>
      <c r="K218" s="51"/>
      <c r="L218" s="51"/>
      <c r="M218" s="51"/>
      <c r="N218" s="279"/>
      <c r="O218" s="264"/>
      <c r="P218" s="219"/>
      <c r="Q218" s="219"/>
      <c r="R218" s="51"/>
      <c r="S218" s="51"/>
      <c r="T218" s="219"/>
      <c r="U218" s="51"/>
      <c r="V218" s="219"/>
      <c r="W218" s="51"/>
      <c r="X218" s="219"/>
      <c r="Y218" s="51"/>
      <c r="Z218" s="219"/>
      <c r="AA218" s="51"/>
      <c r="AB218" s="219"/>
      <c r="AC218" s="51"/>
      <c r="AD218" s="219"/>
      <c r="AE218" s="51"/>
      <c r="AF218" s="219"/>
      <c r="AG218" s="51"/>
      <c r="AH218" s="219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</row>
    <row r="219" spans="1:77" s="233" customFormat="1" ht="15">
      <c r="A219" s="260">
        <v>154</v>
      </c>
      <c r="B219" s="332" t="s">
        <v>296</v>
      </c>
      <c r="C219" s="238" t="s">
        <v>231</v>
      </c>
      <c r="D219" s="261" t="s">
        <v>40</v>
      </c>
      <c r="E219" s="260"/>
      <c r="F219" s="229"/>
      <c r="G219" s="229"/>
      <c r="H219" s="229"/>
      <c r="I219" s="229"/>
      <c r="J219" s="229"/>
      <c r="K219" s="275"/>
      <c r="L219" s="275"/>
      <c r="M219" s="275"/>
      <c r="N219" s="278"/>
      <c r="O219" s="277"/>
      <c r="P219" s="278"/>
      <c r="Q219" s="278"/>
      <c r="R219" s="275"/>
      <c r="S219" s="275"/>
      <c r="T219" s="278"/>
      <c r="U219" s="275"/>
      <c r="V219" s="278"/>
      <c r="W219" s="275"/>
      <c r="X219" s="278"/>
      <c r="Y219" s="275"/>
      <c r="Z219" s="278"/>
      <c r="AA219" s="275"/>
      <c r="AB219" s="278"/>
      <c r="AC219" s="275"/>
      <c r="AD219" s="278"/>
      <c r="AE219" s="275"/>
      <c r="AF219" s="278"/>
      <c r="AG219" s="275"/>
      <c r="AH219" s="278"/>
      <c r="AI219" s="275"/>
      <c r="AJ219" s="275"/>
      <c r="AK219" s="275"/>
      <c r="AL219" s="275"/>
      <c r="AM219" s="275"/>
      <c r="AN219" s="275"/>
      <c r="AO219" s="275"/>
      <c r="AP219" s="275"/>
      <c r="AQ219" s="275"/>
      <c r="AR219" s="275"/>
      <c r="AS219" s="275"/>
      <c r="AT219" s="275"/>
      <c r="AU219" s="275"/>
      <c r="AV219" s="275"/>
      <c r="AW219" s="275"/>
      <c r="AX219" s="275"/>
      <c r="AY219" s="275"/>
      <c r="AZ219" s="275"/>
      <c r="BA219" s="275"/>
      <c r="BB219" s="275"/>
      <c r="BC219" s="275"/>
      <c r="BD219" s="275"/>
      <c r="BE219" s="275"/>
      <c r="BF219" s="275"/>
      <c r="BG219" s="275"/>
      <c r="BH219" s="275"/>
      <c r="BI219" s="275"/>
      <c r="BJ219" s="275"/>
      <c r="BK219" s="275"/>
      <c r="BL219" s="275"/>
      <c r="BM219" s="275"/>
      <c r="BN219" s="275"/>
      <c r="BO219" s="275"/>
      <c r="BP219" s="275"/>
      <c r="BQ219" s="275"/>
      <c r="BR219" s="275"/>
      <c r="BS219" s="275"/>
      <c r="BT219" s="275"/>
      <c r="BU219" s="275"/>
      <c r="BV219" s="275"/>
      <c r="BW219" s="275"/>
      <c r="BX219" s="275"/>
      <c r="BY219" s="275"/>
    </row>
    <row r="220" spans="1:77" s="48" customFormat="1" ht="15">
      <c r="A220" s="205"/>
      <c r="B220" s="341" t="s">
        <v>232</v>
      </c>
      <c r="C220" s="217" t="s">
        <v>232</v>
      </c>
      <c r="D220" s="218"/>
      <c r="E220" s="205"/>
      <c r="F220" s="45"/>
      <c r="G220" s="45"/>
      <c r="H220" s="45"/>
      <c r="I220" s="45"/>
      <c r="J220" s="45"/>
      <c r="K220" s="51"/>
      <c r="L220" s="51"/>
      <c r="M220" s="51"/>
      <c r="N220" s="279"/>
      <c r="O220" s="264"/>
      <c r="P220" s="219"/>
      <c r="Q220" s="219"/>
      <c r="R220" s="51"/>
      <c r="S220" s="51"/>
      <c r="T220" s="219"/>
      <c r="U220" s="51"/>
      <c r="V220" s="219"/>
      <c r="W220" s="51"/>
      <c r="X220" s="219"/>
      <c r="Y220" s="51"/>
      <c r="Z220" s="219"/>
      <c r="AA220" s="51"/>
      <c r="AB220" s="219"/>
      <c r="AC220" s="51"/>
      <c r="AD220" s="219"/>
      <c r="AE220" s="51"/>
      <c r="AF220" s="219"/>
      <c r="AG220" s="51"/>
      <c r="AH220" s="219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</row>
    <row r="221" spans="1:77" s="162" customFormat="1" ht="15">
      <c r="A221" s="207">
        <v>67</v>
      </c>
      <c r="B221" s="331" t="s">
        <v>233</v>
      </c>
      <c r="C221" s="208" t="s">
        <v>233</v>
      </c>
      <c r="D221" s="209" t="s">
        <v>42</v>
      </c>
      <c r="E221" s="220"/>
      <c r="F221" s="221"/>
      <c r="G221" s="221"/>
      <c r="H221" s="221"/>
      <c r="I221" s="221"/>
      <c r="J221" s="221"/>
      <c r="K221" s="286"/>
      <c r="L221" s="286"/>
      <c r="M221" s="286"/>
      <c r="N221" s="159"/>
      <c r="O221" s="160"/>
      <c r="P221" s="161"/>
      <c r="Q221" s="161"/>
      <c r="R221" s="158"/>
      <c r="S221" s="158"/>
      <c r="T221" s="161"/>
      <c r="U221" s="158"/>
      <c r="V221" s="161"/>
      <c r="W221" s="158"/>
      <c r="X221" s="161"/>
      <c r="Y221" s="158"/>
      <c r="Z221" s="161"/>
      <c r="AA221" s="158"/>
      <c r="AB221" s="161"/>
      <c r="AC221" s="158"/>
      <c r="AD221" s="161"/>
      <c r="AE221" s="158"/>
      <c r="AF221" s="161"/>
      <c r="AG221" s="158"/>
      <c r="AH221" s="161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</row>
    <row r="222" spans="1:77" s="48" customFormat="1" ht="15">
      <c r="A222" s="205">
        <v>159</v>
      </c>
      <c r="B222" s="351" t="s">
        <v>234</v>
      </c>
      <c r="C222" s="186" t="s">
        <v>234</v>
      </c>
      <c r="D222" s="206" t="s">
        <v>42</v>
      </c>
      <c r="E222" s="205"/>
      <c r="F222" s="45"/>
      <c r="G222" s="45"/>
      <c r="H222" s="45"/>
      <c r="I222" s="45"/>
      <c r="J222" s="45">
        <v>2000</v>
      </c>
      <c r="K222" s="51"/>
      <c r="L222" s="51"/>
      <c r="M222" s="51"/>
      <c r="N222" s="279"/>
      <c r="O222" s="264"/>
      <c r="P222" s="219"/>
      <c r="Q222" s="219"/>
      <c r="R222" s="51"/>
      <c r="S222" s="51"/>
      <c r="T222" s="219"/>
      <c r="U222" s="51"/>
      <c r="V222" s="219"/>
      <c r="W222" s="51"/>
      <c r="X222" s="219"/>
      <c r="Y222" s="51"/>
      <c r="Z222" s="219"/>
      <c r="AA222" s="51"/>
      <c r="AB222" s="219"/>
      <c r="AC222" s="51"/>
      <c r="AD222" s="219"/>
      <c r="AE222" s="51"/>
      <c r="AF222" s="219"/>
      <c r="AG222" s="51"/>
      <c r="AH222" s="219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</row>
    <row r="223" spans="1:77" s="48" customFormat="1" ht="15">
      <c r="A223" s="205">
        <v>160</v>
      </c>
      <c r="B223" s="351" t="s">
        <v>235</v>
      </c>
      <c r="C223" s="186" t="s">
        <v>235</v>
      </c>
      <c r="D223" s="206" t="s">
        <v>42</v>
      </c>
      <c r="E223" s="205"/>
      <c r="F223" s="45"/>
      <c r="G223" s="45"/>
      <c r="H223" s="45"/>
      <c r="I223" s="45"/>
      <c r="J223" s="45">
        <v>2000</v>
      </c>
      <c r="K223" s="51"/>
      <c r="L223" s="51"/>
      <c r="M223" s="51"/>
      <c r="N223" s="279"/>
      <c r="O223" s="264"/>
      <c r="P223" s="219"/>
      <c r="Q223" s="219"/>
      <c r="R223" s="51"/>
      <c r="S223" s="51"/>
      <c r="T223" s="219"/>
      <c r="U223" s="51"/>
      <c r="V223" s="219"/>
      <c r="W223" s="51"/>
      <c r="X223" s="219"/>
      <c r="Y223" s="51"/>
      <c r="Z223" s="219"/>
      <c r="AA223" s="51"/>
      <c r="AB223" s="219"/>
      <c r="AC223" s="51"/>
      <c r="AD223" s="219"/>
      <c r="AE223" s="51"/>
      <c r="AF223" s="219"/>
      <c r="AG223" s="51"/>
      <c r="AH223" s="219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</row>
    <row r="224" spans="1:77" s="48" customFormat="1" ht="15">
      <c r="A224" s="205">
        <v>161</v>
      </c>
      <c r="B224" s="351" t="s">
        <v>236</v>
      </c>
      <c r="C224" s="186" t="s">
        <v>236</v>
      </c>
      <c r="D224" s="206" t="s">
        <v>42</v>
      </c>
      <c r="E224" s="205"/>
      <c r="F224" s="45"/>
      <c r="G224" s="45"/>
      <c r="H224" s="45"/>
      <c r="I224" s="45"/>
      <c r="J224" s="45">
        <v>2000</v>
      </c>
      <c r="K224" s="51"/>
      <c r="L224" s="51"/>
      <c r="M224" s="51"/>
      <c r="N224" s="279"/>
      <c r="O224" s="264"/>
      <c r="P224" s="219"/>
      <c r="Q224" s="219"/>
      <c r="R224" s="51"/>
      <c r="S224" s="51"/>
      <c r="T224" s="219"/>
      <c r="U224" s="51"/>
      <c r="V224" s="219"/>
      <c r="W224" s="51"/>
      <c r="X224" s="219"/>
      <c r="Y224" s="51"/>
      <c r="Z224" s="219"/>
      <c r="AA224" s="51"/>
      <c r="AB224" s="219"/>
      <c r="AC224" s="51"/>
      <c r="AD224" s="219"/>
      <c r="AE224" s="51"/>
      <c r="AF224" s="219"/>
      <c r="AG224" s="51"/>
      <c r="AH224" s="219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</row>
    <row r="225" spans="1:77" s="48" customFormat="1" ht="15">
      <c r="A225" s="205">
        <v>163</v>
      </c>
      <c r="B225" s="351" t="s">
        <v>237</v>
      </c>
      <c r="C225" s="186" t="s">
        <v>237</v>
      </c>
      <c r="D225" s="206" t="s">
        <v>42</v>
      </c>
      <c r="E225" s="205"/>
      <c r="F225" s="45"/>
      <c r="G225" s="45"/>
      <c r="H225" s="45"/>
      <c r="I225" s="45"/>
      <c r="J225" s="45">
        <v>3000</v>
      </c>
      <c r="K225" s="51"/>
      <c r="L225" s="51"/>
      <c r="M225" s="51"/>
      <c r="N225" s="279"/>
      <c r="O225" s="264"/>
      <c r="P225" s="219"/>
      <c r="Q225" s="219"/>
      <c r="R225" s="51"/>
      <c r="S225" s="51"/>
      <c r="T225" s="219"/>
      <c r="U225" s="51"/>
      <c r="V225" s="219"/>
      <c r="W225" s="51"/>
      <c r="X225" s="219"/>
      <c r="Y225" s="51"/>
      <c r="Z225" s="219"/>
      <c r="AA225" s="51"/>
      <c r="AB225" s="219"/>
      <c r="AC225" s="51"/>
      <c r="AD225" s="219"/>
      <c r="AE225" s="51"/>
      <c r="AF225" s="219"/>
      <c r="AG225" s="51"/>
      <c r="AH225" s="219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</row>
    <row r="226" spans="1:77" s="48" customFormat="1" ht="15">
      <c r="A226" s="205">
        <v>164</v>
      </c>
      <c r="B226" s="351" t="s">
        <v>238</v>
      </c>
      <c r="C226" s="186" t="s">
        <v>238</v>
      </c>
      <c r="D226" s="206" t="s">
        <v>42</v>
      </c>
      <c r="E226" s="205"/>
      <c r="F226" s="45"/>
      <c r="G226" s="45"/>
      <c r="H226" s="45"/>
      <c r="I226" s="45"/>
      <c r="J226" s="45">
        <v>3000</v>
      </c>
      <c r="K226" s="51"/>
      <c r="L226" s="51"/>
      <c r="M226" s="51"/>
      <c r="N226" s="279"/>
      <c r="O226" s="264"/>
      <c r="P226" s="219"/>
      <c r="Q226" s="219"/>
      <c r="R226" s="51"/>
      <c r="S226" s="51"/>
      <c r="T226" s="219"/>
      <c r="U226" s="51"/>
      <c r="V226" s="219"/>
      <c r="W226" s="51"/>
      <c r="X226" s="219"/>
      <c r="Y226" s="51"/>
      <c r="Z226" s="219"/>
      <c r="AA226" s="51"/>
      <c r="AB226" s="219"/>
      <c r="AC226" s="51"/>
      <c r="AD226" s="219"/>
      <c r="AE226" s="51"/>
      <c r="AF226" s="219"/>
      <c r="AG226" s="51"/>
      <c r="AH226" s="219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</row>
    <row r="227" spans="1:77" s="48" customFormat="1" ht="15">
      <c r="A227" s="45"/>
      <c r="B227" s="45"/>
      <c r="C227" s="217" t="s">
        <v>239</v>
      </c>
      <c r="D227" s="218"/>
      <c r="E227" s="205"/>
      <c r="F227" s="45"/>
      <c r="G227" s="45"/>
      <c r="H227" s="45"/>
      <c r="I227" s="45"/>
      <c r="J227" s="45"/>
      <c r="K227" s="51"/>
      <c r="L227" s="51"/>
      <c r="M227" s="51"/>
      <c r="N227" s="279"/>
      <c r="O227" s="264"/>
      <c r="P227" s="219"/>
      <c r="Q227" s="219"/>
      <c r="R227" s="51"/>
      <c r="S227" s="51"/>
      <c r="T227" s="219"/>
      <c r="U227" s="51"/>
      <c r="V227" s="219"/>
      <c r="W227" s="51"/>
      <c r="X227" s="219"/>
      <c r="Y227" s="51"/>
      <c r="Z227" s="219"/>
      <c r="AA227" s="51"/>
      <c r="AB227" s="219"/>
      <c r="AC227" s="51"/>
      <c r="AD227" s="219"/>
      <c r="AE227" s="51"/>
      <c r="AF227" s="219"/>
      <c r="AG227" s="51"/>
      <c r="AH227" s="219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</row>
    <row r="228" spans="1:77" s="162" customFormat="1" ht="30">
      <c r="A228" s="210"/>
      <c r="B228" s="210"/>
      <c r="C228" s="208" t="s">
        <v>240</v>
      </c>
      <c r="D228" s="209"/>
      <c r="E228" s="207"/>
      <c r="F228" s="210"/>
      <c r="G228" s="210"/>
      <c r="H228" s="210"/>
      <c r="I228" s="210"/>
      <c r="J228" s="210"/>
      <c r="K228" s="158"/>
      <c r="L228" s="158"/>
      <c r="M228" s="158"/>
      <c r="N228" s="159"/>
      <c r="O228" s="160"/>
      <c r="P228" s="161"/>
      <c r="Q228" s="161"/>
      <c r="R228" s="158"/>
      <c r="S228" s="158"/>
      <c r="T228" s="161"/>
      <c r="U228" s="158"/>
      <c r="V228" s="161"/>
      <c r="W228" s="158"/>
      <c r="X228" s="161"/>
      <c r="Y228" s="158"/>
      <c r="Z228" s="161"/>
      <c r="AA228" s="158"/>
      <c r="AB228" s="161"/>
      <c r="AC228" s="158"/>
      <c r="AD228" s="161"/>
      <c r="AE228" s="158"/>
      <c r="AF228" s="161"/>
      <c r="AG228" s="158"/>
      <c r="AH228" s="161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</row>
    <row r="229" spans="1:77" s="233" customFormat="1" ht="15">
      <c r="A229" s="260">
        <v>165</v>
      </c>
      <c r="B229" s="260"/>
      <c r="C229" s="238" t="s">
        <v>241</v>
      </c>
      <c r="D229" s="261"/>
      <c r="E229" s="260"/>
      <c r="F229" s="229"/>
      <c r="G229" s="229"/>
      <c r="H229" s="229"/>
      <c r="I229" s="229"/>
      <c r="J229" s="229"/>
      <c r="K229" s="275"/>
      <c r="L229" s="275"/>
      <c r="M229" s="275"/>
      <c r="N229" s="276"/>
      <c r="O229" s="277"/>
      <c r="P229" s="278"/>
      <c r="Q229" s="278"/>
      <c r="R229" s="275"/>
      <c r="S229" s="275"/>
      <c r="T229" s="278"/>
      <c r="U229" s="275"/>
      <c r="V229" s="278"/>
      <c r="W229" s="275"/>
      <c r="X229" s="278"/>
      <c r="Y229" s="275"/>
      <c r="Z229" s="278"/>
      <c r="AA229" s="275"/>
      <c r="AB229" s="278"/>
      <c r="AC229" s="275"/>
      <c r="AD229" s="278"/>
      <c r="AE229" s="275"/>
      <c r="AF229" s="278"/>
      <c r="AG229" s="275"/>
      <c r="AH229" s="278"/>
      <c r="AI229" s="275"/>
      <c r="AJ229" s="275"/>
      <c r="AK229" s="275"/>
      <c r="AL229" s="275"/>
      <c r="AM229" s="275"/>
      <c r="AN229" s="275"/>
      <c r="AO229" s="275"/>
      <c r="AP229" s="275"/>
      <c r="AQ229" s="275"/>
      <c r="AR229" s="275"/>
      <c r="AS229" s="275"/>
      <c r="AT229" s="275"/>
      <c r="AU229" s="275"/>
      <c r="AV229" s="275"/>
      <c r="AW229" s="275"/>
      <c r="AX229" s="275"/>
      <c r="AY229" s="275"/>
      <c r="AZ229" s="275"/>
      <c r="BA229" s="275"/>
      <c r="BB229" s="275"/>
      <c r="BC229" s="275"/>
      <c r="BD229" s="275"/>
      <c r="BE229" s="275"/>
      <c r="BF229" s="275"/>
      <c r="BG229" s="275"/>
      <c r="BH229" s="275"/>
      <c r="BI229" s="275"/>
      <c r="BJ229" s="275"/>
      <c r="BK229" s="275"/>
      <c r="BL229" s="275"/>
      <c r="BM229" s="275"/>
      <c r="BN229" s="275"/>
      <c r="BO229" s="275"/>
      <c r="BP229" s="275"/>
      <c r="BQ229" s="275"/>
      <c r="BR229" s="275"/>
      <c r="BS229" s="275"/>
      <c r="BT229" s="275"/>
      <c r="BU229" s="275"/>
      <c r="BV229" s="275"/>
      <c r="BW229" s="275"/>
      <c r="BX229" s="275"/>
      <c r="BY229" s="275"/>
    </row>
    <row r="230" spans="1:77" s="48" customFormat="1" ht="15">
      <c r="A230" s="205">
        <v>166</v>
      </c>
      <c r="B230" s="205"/>
      <c r="C230" s="185" t="s">
        <v>242</v>
      </c>
      <c r="D230" s="206"/>
      <c r="E230" s="205"/>
      <c r="F230" s="45">
        <f>1.6*60</f>
        <v>96</v>
      </c>
      <c r="G230" s="45"/>
      <c r="H230" s="45"/>
      <c r="I230" s="45">
        <v>100</v>
      </c>
      <c r="J230" s="45">
        <f>I230+F230</f>
        <v>196</v>
      </c>
      <c r="K230" s="51"/>
      <c r="L230" s="51"/>
      <c r="M230" s="51"/>
      <c r="N230" s="279"/>
      <c r="O230" s="264"/>
      <c r="P230" s="219"/>
      <c r="Q230" s="219"/>
      <c r="R230" s="51"/>
      <c r="S230" s="51"/>
      <c r="T230" s="219"/>
      <c r="U230" s="51"/>
      <c r="V230" s="219"/>
      <c r="W230" s="51"/>
      <c r="X230" s="219"/>
      <c r="Y230" s="51"/>
      <c r="Z230" s="219"/>
      <c r="AA230" s="51"/>
      <c r="AB230" s="219"/>
      <c r="AC230" s="51"/>
      <c r="AD230" s="219"/>
      <c r="AE230" s="51"/>
      <c r="AF230" s="219"/>
      <c r="AG230" s="51"/>
      <c r="AH230" s="219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</row>
    <row r="231" spans="1:77" ht="15">
      <c r="A231" s="284"/>
      <c r="B231" s="284"/>
      <c r="C231" s="87"/>
      <c r="D231" s="270"/>
      <c r="E231" s="270"/>
      <c r="F231" s="270"/>
      <c r="G231" s="270"/>
      <c r="H231" s="270"/>
      <c r="I231" s="270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</row>
    <row r="232" spans="1:77" ht="15">
      <c r="A232" s="87"/>
      <c r="B232" s="87"/>
      <c r="C232" s="87"/>
      <c r="D232" s="270"/>
      <c r="E232" s="270"/>
      <c r="F232" s="270"/>
      <c r="G232" s="270"/>
      <c r="H232" s="270"/>
      <c r="I232" s="270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</row>
    <row r="233" spans="1:77" ht="15">
      <c r="A233" s="87"/>
      <c r="B233" s="87"/>
      <c r="C233" s="87"/>
      <c r="D233" s="270"/>
      <c r="E233" s="270"/>
      <c r="F233" s="270"/>
      <c r="G233" s="270"/>
      <c r="H233" s="270"/>
      <c r="I233" s="270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</row>
    <row r="234" spans="1:77" ht="15">
      <c r="A234" s="87"/>
      <c r="B234" s="87"/>
      <c r="C234" s="87"/>
      <c r="D234" s="270"/>
      <c r="E234" s="270"/>
      <c r="F234" s="270"/>
      <c r="G234" s="270"/>
      <c r="H234" s="270"/>
      <c r="I234" s="270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</row>
    <row r="235" spans="1:77" ht="15">
      <c r="A235" s="87"/>
      <c r="B235" s="87"/>
      <c r="C235" s="87"/>
      <c r="D235" s="270"/>
      <c r="E235" s="270"/>
      <c r="F235" s="270"/>
      <c r="G235" s="270"/>
      <c r="H235" s="270"/>
      <c r="I235" s="270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</row>
    <row r="236" spans="1:77" ht="15">
      <c r="A236" s="87"/>
      <c r="B236" s="87"/>
      <c r="C236" s="87"/>
      <c r="D236" s="270"/>
      <c r="E236" s="270"/>
      <c r="F236" s="270"/>
      <c r="G236" s="270"/>
      <c r="H236" s="270"/>
      <c r="I236" s="270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</row>
    <row r="237" spans="1:77" ht="15">
      <c r="A237" s="87"/>
      <c r="B237" s="87"/>
      <c r="C237" s="87"/>
      <c r="D237" s="270"/>
      <c r="E237" s="270"/>
      <c r="F237" s="270"/>
      <c r="G237" s="270"/>
      <c r="H237" s="270"/>
      <c r="I237" s="270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</row>
    <row r="238" spans="1:77" ht="15">
      <c r="A238" s="87"/>
      <c r="B238" s="87"/>
      <c r="C238" s="87"/>
      <c r="D238" s="270"/>
      <c r="E238" s="270"/>
      <c r="F238" s="270"/>
      <c r="G238" s="270"/>
      <c r="H238" s="270"/>
      <c r="I238" s="270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</row>
    <row r="239" spans="1:77" ht="15">
      <c r="A239" s="87"/>
      <c r="B239" s="87"/>
      <c r="C239" s="87"/>
      <c r="D239" s="270"/>
      <c r="E239" s="270"/>
      <c r="F239" s="270"/>
      <c r="G239" s="270"/>
      <c r="H239" s="270"/>
      <c r="I239" s="270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</row>
    <row r="240" spans="1:77" ht="15">
      <c r="A240" s="87"/>
      <c r="B240" s="87"/>
      <c r="C240" s="87"/>
      <c r="D240" s="270"/>
      <c r="E240" s="270"/>
      <c r="F240" s="270"/>
      <c r="G240" s="270"/>
      <c r="H240" s="270"/>
      <c r="I240" s="270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</row>
    <row r="241" spans="1:77" ht="15">
      <c r="A241" s="87"/>
      <c r="B241" s="87"/>
      <c r="C241" s="87"/>
      <c r="D241" s="270"/>
      <c r="E241" s="270"/>
      <c r="F241" s="270"/>
      <c r="G241" s="270"/>
      <c r="H241" s="270"/>
      <c r="I241" s="270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</row>
    <row r="242" spans="1:77" ht="15">
      <c r="A242" s="87"/>
      <c r="B242" s="87"/>
      <c r="C242" s="87"/>
      <c r="D242" s="270"/>
      <c r="E242" s="270"/>
      <c r="F242" s="270"/>
      <c r="G242" s="270"/>
      <c r="H242" s="270"/>
      <c r="I242" s="270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</row>
    <row r="243" spans="1:77" ht="15">
      <c r="A243" s="87"/>
      <c r="B243" s="87"/>
      <c r="C243" s="87"/>
      <c r="D243" s="270"/>
      <c r="E243" s="270"/>
      <c r="F243" s="270"/>
      <c r="G243" s="270"/>
      <c r="H243" s="270"/>
      <c r="I243" s="270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</row>
    <row r="244" spans="1:77" ht="15">
      <c r="A244" s="87"/>
      <c r="B244" s="87"/>
      <c r="C244" s="87"/>
      <c r="D244" s="270"/>
      <c r="E244" s="270"/>
      <c r="F244" s="270"/>
      <c r="G244" s="270"/>
      <c r="H244" s="270"/>
      <c r="I244" s="270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</row>
    <row r="245" spans="1:77" ht="15">
      <c r="A245" s="87"/>
      <c r="B245" s="87"/>
      <c r="C245" s="87"/>
      <c r="D245" s="270"/>
      <c r="E245" s="270"/>
      <c r="F245" s="270"/>
      <c r="G245" s="270"/>
      <c r="H245" s="270"/>
      <c r="I245" s="270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</row>
    <row r="246" spans="1:77" ht="15">
      <c r="A246" s="87"/>
      <c r="B246" s="87"/>
      <c r="C246" s="87"/>
      <c r="D246" s="270"/>
      <c r="E246" s="270"/>
      <c r="F246" s="270"/>
      <c r="G246" s="270"/>
      <c r="H246" s="270"/>
      <c r="I246" s="270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</row>
    <row r="247" spans="1:77" ht="15">
      <c r="A247" s="87"/>
      <c r="B247" s="87"/>
      <c r="C247" s="87"/>
      <c r="D247" s="270"/>
      <c r="E247" s="270"/>
      <c r="F247" s="270"/>
      <c r="G247" s="270"/>
      <c r="H247" s="270"/>
      <c r="I247" s="270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</row>
    <row r="248" spans="1:77" ht="15">
      <c r="A248" s="87"/>
      <c r="B248" s="87"/>
      <c r="C248" s="87"/>
      <c r="D248" s="270"/>
      <c r="E248" s="270"/>
      <c r="F248" s="270"/>
      <c r="G248" s="270"/>
      <c r="H248" s="270"/>
      <c r="I248" s="270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</row>
    <row r="249" spans="1:77" ht="15">
      <c r="A249" s="87"/>
      <c r="B249" s="87"/>
      <c r="C249" s="87"/>
      <c r="D249" s="270"/>
      <c r="E249" s="270"/>
      <c r="F249" s="270"/>
      <c r="G249" s="270"/>
      <c r="H249" s="270"/>
      <c r="I249" s="270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</row>
    <row r="250" spans="1:77" ht="15">
      <c r="A250" s="87"/>
      <c r="B250" s="87"/>
      <c r="C250" s="87"/>
      <c r="D250" s="270"/>
      <c r="E250" s="270"/>
      <c r="F250" s="270"/>
      <c r="G250" s="270"/>
      <c r="H250" s="270"/>
      <c r="I250" s="270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</row>
    <row r="251" spans="1:77" ht="15">
      <c r="A251" s="87"/>
      <c r="B251" s="87"/>
      <c r="C251" s="87"/>
      <c r="D251" s="270"/>
      <c r="E251" s="270"/>
      <c r="F251" s="270"/>
      <c r="G251" s="270"/>
      <c r="H251" s="270"/>
      <c r="I251" s="270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</row>
    <row r="252" spans="1:77" ht="15">
      <c r="A252" s="87"/>
      <c r="B252" s="87"/>
      <c r="C252" s="87"/>
      <c r="D252" s="270"/>
      <c r="E252" s="270"/>
      <c r="F252" s="270"/>
      <c r="G252" s="270"/>
      <c r="H252" s="270"/>
      <c r="I252" s="270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</row>
    <row r="253" spans="1:77" ht="15">
      <c r="A253" s="87"/>
      <c r="B253" s="87"/>
      <c r="C253" s="87"/>
      <c r="D253" s="270"/>
      <c r="E253" s="270"/>
      <c r="F253" s="270"/>
      <c r="G253" s="270"/>
      <c r="H253" s="270"/>
      <c r="I253" s="270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87"/>
      <c r="BY253" s="87"/>
    </row>
    <row r="254" spans="1:77" ht="15">
      <c r="A254" s="87"/>
      <c r="B254" s="87"/>
      <c r="C254" s="87"/>
      <c r="D254" s="270"/>
      <c r="E254" s="270"/>
      <c r="F254" s="270"/>
      <c r="G254" s="270"/>
      <c r="H254" s="270"/>
      <c r="I254" s="270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</row>
    <row r="255" spans="1:77" ht="15">
      <c r="A255" s="87"/>
      <c r="B255" s="87"/>
      <c r="C255" s="87"/>
      <c r="D255" s="270"/>
      <c r="E255" s="270"/>
      <c r="F255" s="270"/>
      <c r="G255" s="270"/>
      <c r="H255" s="270"/>
      <c r="I255" s="270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87"/>
      <c r="BY255" s="87"/>
    </row>
    <row r="256" spans="1:77" ht="15">
      <c r="A256" s="87"/>
      <c r="B256" s="87"/>
      <c r="C256" s="87"/>
      <c r="D256" s="270"/>
      <c r="E256" s="270"/>
      <c r="F256" s="270"/>
      <c r="G256" s="270"/>
      <c r="H256" s="270"/>
      <c r="I256" s="270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  <c r="BM256" s="87"/>
      <c r="BN256" s="87"/>
      <c r="BO256" s="87"/>
      <c r="BP256" s="87"/>
      <c r="BQ256" s="87"/>
      <c r="BR256" s="87"/>
      <c r="BS256" s="87"/>
      <c r="BT256" s="87"/>
      <c r="BU256" s="87"/>
      <c r="BV256" s="87"/>
      <c r="BW256" s="87"/>
      <c r="BX256" s="87"/>
      <c r="BY256" s="87"/>
    </row>
    <row r="257" spans="1:77" ht="15">
      <c r="A257" s="87"/>
      <c r="B257" s="87"/>
      <c r="C257" s="87"/>
      <c r="D257" s="270"/>
      <c r="E257" s="270"/>
      <c r="F257" s="270"/>
      <c r="G257" s="270"/>
      <c r="H257" s="270"/>
      <c r="I257" s="270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  <c r="BM257" s="87"/>
      <c r="BN257" s="87"/>
      <c r="BO257" s="87"/>
      <c r="BP257" s="87"/>
      <c r="BQ257" s="87"/>
      <c r="BR257" s="87"/>
      <c r="BS257" s="87"/>
      <c r="BT257" s="87"/>
      <c r="BU257" s="87"/>
      <c r="BV257" s="87"/>
      <c r="BW257" s="87"/>
      <c r="BX257" s="87"/>
      <c r="BY257" s="87"/>
    </row>
    <row r="258" spans="1:77" ht="15">
      <c r="A258" s="87"/>
      <c r="B258" s="87"/>
      <c r="C258" s="87"/>
      <c r="D258" s="270"/>
      <c r="E258" s="270"/>
      <c r="F258" s="270"/>
      <c r="G258" s="270"/>
      <c r="H258" s="270"/>
      <c r="I258" s="270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/>
      <c r="BO258" s="87"/>
      <c r="BP258" s="87"/>
      <c r="BQ258" s="87"/>
      <c r="BR258" s="87"/>
      <c r="BS258" s="87"/>
      <c r="BT258" s="87"/>
      <c r="BU258" s="87"/>
      <c r="BV258" s="87"/>
      <c r="BW258" s="87"/>
      <c r="BX258" s="87"/>
      <c r="BY258" s="87"/>
    </row>
    <row r="259" spans="1:77" ht="15">
      <c r="A259" s="87"/>
      <c r="B259" s="87"/>
      <c r="C259" s="87"/>
      <c r="D259" s="270"/>
      <c r="E259" s="270"/>
      <c r="F259" s="270"/>
      <c r="G259" s="270"/>
      <c r="H259" s="270"/>
      <c r="I259" s="270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/>
      <c r="BO259" s="87"/>
      <c r="BP259" s="87"/>
      <c r="BQ259" s="87"/>
      <c r="BR259" s="87"/>
      <c r="BS259" s="87"/>
      <c r="BT259" s="87"/>
      <c r="BU259" s="87"/>
      <c r="BV259" s="87"/>
      <c r="BW259" s="87"/>
      <c r="BX259" s="87"/>
      <c r="BY259" s="87"/>
    </row>
    <row r="260" spans="1:77" ht="15">
      <c r="A260" s="87"/>
      <c r="B260" s="87"/>
      <c r="C260" s="87"/>
      <c r="D260" s="270"/>
      <c r="E260" s="270"/>
      <c r="F260" s="270"/>
      <c r="G260" s="270"/>
      <c r="H260" s="270"/>
      <c r="I260" s="270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7"/>
      <c r="BV260" s="87"/>
      <c r="BW260" s="87"/>
      <c r="BX260" s="87"/>
      <c r="BY260" s="87"/>
    </row>
    <row r="261" spans="1:77" ht="15">
      <c r="A261" s="87"/>
      <c r="B261" s="87"/>
      <c r="C261" s="87"/>
      <c r="D261" s="270"/>
      <c r="E261" s="270"/>
      <c r="F261" s="270"/>
      <c r="G261" s="270"/>
      <c r="H261" s="270"/>
      <c r="I261" s="270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/>
      <c r="BX261" s="87"/>
      <c r="BY261" s="87"/>
    </row>
    <row r="262" spans="1:77" ht="15">
      <c r="A262" s="87"/>
      <c r="B262" s="87"/>
      <c r="C262" s="87"/>
      <c r="D262" s="270"/>
      <c r="E262" s="270"/>
      <c r="F262" s="270"/>
      <c r="G262" s="270"/>
      <c r="H262" s="270"/>
      <c r="I262" s="270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/>
      <c r="BX262" s="87"/>
      <c r="BY262" s="87"/>
    </row>
    <row r="263" spans="1:77" ht="15">
      <c r="A263" s="87"/>
      <c r="B263" s="87"/>
      <c r="C263" s="87"/>
      <c r="D263" s="270"/>
      <c r="E263" s="270"/>
      <c r="F263" s="270"/>
      <c r="G263" s="270"/>
      <c r="H263" s="270"/>
      <c r="I263" s="270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</row>
    <row r="264" spans="1:77" ht="15">
      <c r="A264" s="87"/>
      <c r="B264" s="87"/>
      <c r="C264" s="87"/>
      <c r="D264" s="270"/>
      <c r="E264" s="270"/>
      <c r="F264" s="270"/>
      <c r="G264" s="270"/>
      <c r="H264" s="270"/>
      <c r="I264" s="270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/>
      <c r="BX264" s="87"/>
      <c r="BY264" s="87"/>
    </row>
    <row r="265" spans="1:77" ht="15">
      <c r="A265" s="87"/>
      <c r="B265" s="87"/>
      <c r="C265" s="87"/>
      <c r="D265" s="270"/>
      <c r="E265" s="270"/>
      <c r="F265" s="270"/>
      <c r="G265" s="270"/>
      <c r="H265" s="270"/>
      <c r="I265" s="270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/>
      <c r="BX265" s="87"/>
      <c r="BY265" s="87"/>
    </row>
    <row r="266" spans="1:77" ht="15">
      <c r="A266" s="87"/>
      <c r="B266" s="87"/>
      <c r="C266" s="87"/>
      <c r="D266" s="270"/>
      <c r="E266" s="270"/>
      <c r="F266" s="270"/>
      <c r="G266" s="270"/>
      <c r="H266" s="270"/>
      <c r="I266" s="270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</row>
    <row r="267" spans="1:77" ht="15">
      <c r="A267" s="87"/>
      <c r="B267" s="87"/>
      <c r="C267" s="87"/>
      <c r="D267" s="270"/>
      <c r="E267" s="270"/>
      <c r="F267" s="270"/>
      <c r="G267" s="270"/>
      <c r="H267" s="270"/>
      <c r="I267" s="270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</row>
    <row r="268" spans="1:77" ht="15">
      <c r="A268" s="87"/>
      <c r="B268" s="87"/>
      <c r="C268" s="87"/>
      <c r="D268" s="270"/>
      <c r="E268" s="270"/>
      <c r="F268" s="270"/>
      <c r="G268" s="270"/>
      <c r="H268" s="270"/>
      <c r="I268" s="270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</row>
    <row r="269" spans="1:77" ht="15">
      <c r="A269" s="87"/>
      <c r="B269" s="87"/>
      <c r="C269" s="87"/>
      <c r="D269" s="270"/>
      <c r="E269" s="270"/>
      <c r="F269" s="270"/>
      <c r="G269" s="270"/>
      <c r="H269" s="270"/>
      <c r="I269" s="270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</row>
    <row r="270" spans="1:77" ht="15">
      <c r="A270" s="87"/>
      <c r="B270" s="87"/>
      <c r="C270" s="87"/>
      <c r="D270" s="270"/>
      <c r="E270" s="270"/>
      <c r="F270" s="270"/>
      <c r="G270" s="270"/>
      <c r="H270" s="270"/>
      <c r="I270" s="270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</row>
    <row r="271" spans="1:77" ht="15">
      <c r="A271" s="87"/>
      <c r="B271" s="87"/>
      <c r="C271" s="87"/>
      <c r="D271" s="270"/>
      <c r="E271" s="270"/>
      <c r="F271" s="270"/>
      <c r="G271" s="270"/>
      <c r="H271" s="270"/>
      <c r="I271" s="270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87"/>
      <c r="BY271" s="87"/>
    </row>
    <row r="272" spans="1:77" ht="15">
      <c r="A272" s="87"/>
      <c r="B272" s="87"/>
      <c r="C272" s="87"/>
      <c r="D272" s="270"/>
      <c r="E272" s="270"/>
      <c r="F272" s="270"/>
      <c r="G272" s="270"/>
      <c r="H272" s="270"/>
      <c r="I272" s="270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</row>
    <row r="273" spans="1:77" ht="15">
      <c r="A273" s="87"/>
      <c r="B273" s="87"/>
      <c r="C273" s="87"/>
      <c r="D273" s="270"/>
      <c r="E273" s="270"/>
      <c r="F273" s="270"/>
      <c r="G273" s="270"/>
      <c r="H273" s="270"/>
      <c r="I273" s="270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87"/>
      <c r="BY273" s="87"/>
    </row>
    <row r="274" spans="1:77" ht="15">
      <c r="A274" s="87"/>
      <c r="B274" s="87"/>
      <c r="C274" s="87"/>
      <c r="D274" s="270"/>
      <c r="E274" s="270"/>
      <c r="F274" s="270"/>
      <c r="G274" s="270"/>
      <c r="H274" s="270"/>
      <c r="I274" s="270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</row>
    <row r="275" spans="1:77" ht="15">
      <c r="A275" s="87"/>
      <c r="B275" s="87"/>
      <c r="C275" s="87"/>
      <c r="D275" s="270"/>
      <c r="E275" s="270"/>
      <c r="F275" s="270"/>
      <c r="G275" s="270"/>
      <c r="H275" s="270"/>
      <c r="I275" s="270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7"/>
      <c r="BQ275" s="87"/>
      <c r="BR275" s="87"/>
      <c r="BS275" s="87"/>
      <c r="BT275" s="87"/>
      <c r="BU275" s="87"/>
      <c r="BV275" s="87"/>
      <c r="BW275" s="87"/>
      <c r="BX275" s="87"/>
      <c r="BY275" s="87"/>
    </row>
    <row r="276" spans="1:77" ht="15">
      <c r="A276" s="87"/>
      <c r="B276" s="87"/>
      <c r="C276" s="87"/>
      <c r="D276" s="270"/>
      <c r="E276" s="270"/>
      <c r="F276" s="270"/>
      <c r="G276" s="270"/>
      <c r="H276" s="270"/>
      <c r="I276" s="270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</row>
    <row r="277" spans="1:77" ht="15">
      <c r="A277" s="87"/>
      <c r="B277" s="87"/>
      <c r="C277" s="87"/>
      <c r="D277" s="270"/>
      <c r="E277" s="270"/>
      <c r="F277" s="270"/>
      <c r="G277" s="270"/>
      <c r="H277" s="270"/>
      <c r="I277" s="270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</row>
    <row r="278" spans="1:77" ht="15">
      <c r="A278" s="87"/>
      <c r="B278" s="87"/>
      <c r="C278" s="87"/>
      <c r="D278" s="270"/>
      <c r="E278" s="270"/>
      <c r="F278" s="270"/>
      <c r="G278" s="270"/>
      <c r="H278" s="270"/>
      <c r="I278" s="270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</row>
    <row r="279" spans="1:77" ht="15">
      <c r="A279" s="87"/>
      <c r="B279" s="87"/>
      <c r="C279" s="87"/>
      <c r="D279" s="270"/>
      <c r="E279" s="270"/>
      <c r="F279" s="270"/>
      <c r="G279" s="270"/>
      <c r="H279" s="270"/>
      <c r="I279" s="270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</row>
    <row r="280" spans="1:77" ht="15">
      <c r="A280" s="87"/>
      <c r="B280" s="87"/>
      <c r="C280" s="87"/>
      <c r="D280" s="270"/>
      <c r="E280" s="270"/>
      <c r="F280" s="270"/>
      <c r="G280" s="270"/>
      <c r="H280" s="270"/>
      <c r="I280" s="270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</row>
    <row r="281" spans="1:77" ht="15">
      <c r="A281" s="87"/>
      <c r="B281" s="87"/>
      <c r="C281" s="87"/>
      <c r="D281" s="270"/>
      <c r="E281" s="270"/>
      <c r="F281" s="270"/>
      <c r="G281" s="270"/>
      <c r="H281" s="270"/>
      <c r="I281" s="270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</row>
    <row r="282" spans="1:77" ht="15">
      <c r="A282" s="87"/>
      <c r="B282" s="87"/>
      <c r="C282" s="87"/>
      <c r="D282" s="270"/>
      <c r="E282" s="270"/>
      <c r="F282" s="270"/>
      <c r="G282" s="270"/>
      <c r="H282" s="270"/>
      <c r="I282" s="270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</row>
    <row r="283" spans="1:77" ht="15">
      <c r="A283" s="87"/>
      <c r="B283" s="87"/>
      <c r="C283" s="87"/>
      <c r="D283" s="270"/>
      <c r="E283" s="270"/>
      <c r="F283" s="270"/>
      <c r="G283" s="270"/>
      <c r="H283" s="270"/>
      <c r="I283" s="270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87"/>
      <c r="BY283" s="87"/>
    </row>
    <row r="284" spans="1:77" ht="15">
      <c r="A284" s="87"/>
      <c r="B284" s="87"/>
      <c r="C284" s="87"/>
      <c r="D284" s="270"/>
      <c r="E284" s="270"/>
      <c r="F284" s="270"/>
      <c r="G284" s="270"/>
      <c r="H284" s="270"/>
      <c r="I284" s="270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87"/>
      <c r="BY284" s="87"/>
    </row>
    <row r="285" spans="1:77" ht="15">
      <c r="A285" s="87"/>
      <c r="B285" s="87"/>
      <c r="C285" s="87"/>
      <c r="D285" s="270"/>
      <c r="E285" s="270"/>
      <c r="F285" s="270"/>
      <c r="G285" s="270"/>
      <c r="H285" s="270"/>
      <c r="I285" s="270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87"/>
      <c r="BY285" s="87"/>
    </row>
    <row r="286" spans="1:77" ht="15">
      <c r="A286" s="87"/>
      <c r="B286" s="87"/>
      <c r="C286" s="87"/>
      <c r="D286" s="270"/>
      <c r="E286" s="270"/>
      <c r="F286" s="270"/>
      <c r="G286" s="270"/>
      <c r="H286" s="270"/>
      <c r="I286" s="270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</row>
    <row r="287" spans="1:77" ht="15">
      <c r="A287" s="87"/>
      <c r="B287" s="87"/>
      <c r="C287" s="87"/>
      <c r="D287" s="270"/>
      <c r="E287" s="270"/>
      <c r="F287" s="270"/>
      <c r="G287" s="270"/>
      <c r="H287" s="270"/>
      <c r="I287" s="270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7"/>
      <c r="BQ287" s="87"/>
      <c r="BR287" s="87"/>
      <c r="BS287" s="87"/>
      <c r="BT287" s="87"/>
      <c r="BU287" s="87"/>
      <c r="BV287" s="87"/>
      <c r="BW287" s="87"/>
      <c r="BX287" s="87"/>
      <c r="BY287" s="87"/>
    </row>
    <row r="288" spans="1:77" ht="15">
      <c r="A288" s="87"/>
      <c r="B288" s="87"/>
      <c r="C288" s="87"/>
      <c r="D288" s="270"/>
      <c r="E288" s="270"/>
      <c r="F288" s="270"/>
      <c r="G288" s="270"/>
      <c r="H288" s="270"/>
      <c r="I288" s="270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7"/>
      <c r="BQ288" s="87"/>
      <c r="BR288" s="87"/>
      <c r="BS288" s="87"/>
      <c r="BT288" s="87"/>
      <c r="BU288" s="87"/>
      <c r="BV288" s="87"/>
      <c r="BW288" s="87"/>
      <c r="BX288" s="87"/>
      <c r="BY288" s="87"/>
    </row>
    <row r="289" spans="1:77" ht="15">
      <c r="A289" s="87"/>
      <c r="B289" s="87"/>
      <c r="C289" s="87"/>
      <c r="D289" s="270"/>
      <c r="E289" s="270"/>
      <c r="F289" s="270"/>
      <c r="G289" s="270"/>
      <c r="H289" s="270"/>
      <c r="I289" s="270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7"/>
      <c r="BQ289" s="87"/>
      <c r="BR289" s="87"/>
      <c r="BS289" s="87"/>
      <c r="BT289" s="87"/>
      <c r="BU289" s="87"/>
      <c r="BV289" s="87"/>
      <c r="BW289" s="87"/>
      <c r="BX289" s="87"/>
      <c r="BY289" s="87"/>
    </row>
    <row r="290" spans="1:77" ht="15">
      <c r="A290" s="87"/>
      <c r="B290" s="87"/>
      <c r="C290" s="87"/>
      <c r="D290" s="270"/>
      <c r="E290" s="270"/>
      <c r="F290" s="270"/>
      <c r="G290" s="270"/>
      <c r="H290" s="270"/>
      <c r="I290" s="270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87"/>
      <c r="BY290" s="87"/>
    </row>
    <row r="291" spans="1:77" ht="15">
      <c r="A291" s="87"/>
      <c r="B291" s="87"/>
      <c r="C291" s="87"/>
      <c r="D291" s="270"/>
      <c r="E291" s="270"/>
      <c r="F291" s="270"/>
      <c r="G291" s="270"/>
      <c r="H291" s="270"/>
      <c r="I291" s="270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7"/>
      <c r="BQ291" s="87"/>
      <c r="BR291" s="87"/>
      <c r="BS291" s="87"/>
      <c r="BT291" s="87"/>
      <c r="BU291" s="87"/>
      <c r="BV291" s="87"/>
      <c r="BW291" s="87"/>
      <c r="BX291" s="87"/>
      <c r="BY291" s="87"/>
    </row>
    <row r="292" spans="1:77" ht="15">
      <c r="A292" s="87"/>
      <c r="B292" s="87"/>
      <c r="C292" s="87"/>
      <c r="D292" s="270"/>
      <c r="E292" s="270"/>
      <c r="F292" s="270"/>
      <c r="G292" s="270"/>
      <c r="H292" s="270"/>
      <c r="I292" s="270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7"/>
      <c r="BQ292" s="87"/>
      <c r="BR292" s="87"/>
      <c r="BS292" s="87"/>
      <c r="BT292" s="87"/>
      <c r="BU292" s="87"/>
      <c r="BV292" s="87"/>
      <c r="BW292" s="87"/>
      <c r="BX292" s="87"/>
      <c r="BY292" s="87"/>
    </row>
    <row r="293" spans="1:77" ht="15">
      <c r="A293" s="87"/>
      <c r="B293" s="87"/>
      <c r="C293" s="87"/>
      <c r="D293" s="270"/>
      <c r="E293" s="270"/>
      <c r="F293" s="270"/>
      <c r="G293" s="270"/>
      <c r="H293" s="270"/>
      <c r="I293" s="270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  <c r="BM293" s="87"/>
      <c r="BN293" s="87"/>
      <c r="BO293" s="87"/>
      <c r="BP293" s="87"/>
      <c r="BQ293" s="87"/>
      <c r="BR293" s="87"/>
      <c r="BS293" s="87"/>
      <c r="BT293" s="87"/>
      <c r="BU293" s="87"/>
      <c r="BV293" s="87"/>
      <c r="BW293" s="87"/>
      <c r="BX293" s="87"/>
      <c r="BY293" s="87"/>
    </row>
    <row r="294" spans="1:77" ht="15">
      <c r="A294" s="87"/>
      <c r="B294" s="87"/>
      <c r="C294" s="87"/>
      <c r="D294" s="270"/>
      <c r="E294" s="270"/>
      <c r="F294" s="270"/>
      <c r="G294" s="270"/>
      <c r="H294" s="270"/>
      <c r="I294" s="270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  <c r="BM294" s="87"/>
      <c r="BN294" s="87"/>
      <c r="BO294" s="87"/>
      <c r="BP294" s="87"/>
      <c r="BQ294" s="87"/>
      <c r="BR294" s="87"/>
      <c r="BS294" s="87"/>
      <c r="BT294" s="87"/>
      <c r="BU294" s="87"/>
      <c r="BV294" s="87"/>
      <c r="BW294" s="87"/>
      <c r="BX294" s="87"/>
      <c r="BY294" s="87"/>
    </row>
    <row r="295" spans="1:77" ht="15">
      <c r="A295" s="87"/>
      <c r="B295" s="87"/>
      <c r="C295" s="87"/>
      <c r="D295" s="270"/>
      <c r="E295" s="270"/>
      <c r="F295" s="270"/>
      <c r="G295" s="270"/>
      <c r="H295" s="270"/>
      <c r="I295" s="270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87"/>
      <c r="BM295" s="87"/>
      <c r="BN295" s="87"/>
      <c r="BO295" s="87"/>
      <c r="BP295" s="87"/>
      <c r="BQ295" s="87"/>
      <c r="BR295" s="87"/>
      <c r="BS295" s="87"/>
      <c r="BT295" s="87"/>
      <c r="BU295" s="87"/>
      <c r="BV295" s="87"/>
      <c r="BW295" s="87"/>
      <c r="BX295" s="87"/>
      <c r="BY295" s="87"/>
    </row>
    <row r="296" spans="1:77" ht="15">
      <c r="A296" s="87"/>
      <c r="B296" s="87"/>
      <c r="C296" s="87"/>
      <c r="D296" s="270"/>
      <c r="E296" s="270"/>
      <c r="F296" s="270"/>
      <c r="G296" s="270"/>
      <c r="H296" s="270"/>
      <c r="I296" s="270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  <c r="BM296" s="87"/>
      <c r="BN296" s="87"/>
      <c r="BO296" s="87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</row>
    <row r="297" spans="1:77" ht="15">
      <c r="A297" s="87"/>
      <c r="B297" s="87"/>
      <c r="C297" s="87"/>
      <c r="D297" s="270"/>
      <c r="E297" s="270"/>
      <c r="F297" s="270"/>
      <c r="G297" s="270"/>
      <c r="H297" s="270"/>
      <c r="I297" s="270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  <c r="BN297" s="87"/>
      <c r="BO297" s="87"/>
      <c r="BP297" s="87"/>
      <c r="BQ297" s="87"/>
      <c r="BR297" s="87"/>
      <c r="BS297" s="87"/>
      <c r="BT297" s="87"/>
      <c r="BU297" s="87"/>
      <c r="BV297" s="87"/>
      <c r="BW297" s="87"/>
      <c r="BX297" s="87"/>
      <c r="BY297" s="87"/>
    </row>
    <row r="298" spans="1:77" ht="15">
      <c r="A298" s="87"/>
      <c r="B298" s="87"/>
      <c r="C298" s="87"/>
      <c r="D298" s="270"/>
      <c r="E298" s="270"/>
      <c r="F298" s="270"/>
      <c r="G298" s="270"/>
      <c r="H298" s="270"/>
      <c r="I298" s="270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7"/>
      <c r="BQ298" s="87"/>
      <c r="BR298" s="87"/>
      <c r="BS298" s="87"/>
      <c r="BT298" s="87"/>
      <c r="BU298" s="87"/>
      <c r="BV298" s="87"/>
      <c r="BW298" s="87"/>
      <c r="BX298" s="87"/>
      <c r="BY298" s="87"/>
    </row>
    <row r="299" spans="1:77" ht="15">
      <c r="A299" s="87"/>
      <c r="B299" s="87"/>
      <c r="C299" s="87"/>
      <c r="D299" s="270"/>
      <c r="E299" s="270"/>
      <c r="F299" s="270"/>
      <c r="G299" s="270"/>
      <c r="H299" s="270"/>
      <c r="I299" s="270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  <c r="BE299" s="87"/>
      <c r="BF299" s="87"/>
      <c r="BG299" s="87"/>
      <c r="BH299" s="87"/>
      <c r="BI299" s="87"/>
      <c r="BJ299" s="87"/>
      <c r="BK299" s="87"/>
      <c r="BL299" s="87"/>
      <c r="BM299" s="87"/>
      <c r="BN299" s="87"/>
      <c r="BO299" s="87"/>
      <c r="BP299" s="87"/>
      <c r="BQ299" s="87"/>
      <c r="BR299" s="87"/>
      <c r="BS299" s="87"/>
      <c r="BT299" s="87"/>
      <c r="BU299" s="87"/>
      <c r="BV299" s="87"/>
      <c r="BW299" s="87"/>
      <c r="BX299" s="87"/>
      <c r="BY299" s="87"/>
    </row>
    <row r="300" spans="1:77" ht="15">
      <c r="A300" s="87"/>
      <c r="B300" s="87"/>
      <c r="C300" s="87"/>
      <c r="D300" s="270"/>
      <c r="E300" s="270"/>
      <c r="F300" s="270"/>
      <c r="G300" s="270"/>
      <c r="H300" s="270"/>
      <c r="I300" s="270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87"/>
      <c r="BF300" s="87"/>
      <c r="BG300" s="87"/>
      <c r="BH300" s="87"/>
      <c r="BI300" s="87"/>
      <c r="BJ300" s="87"/>
      <c r="BK300" s="87"/>
      <c r="BL300" s="87"/>
      <c r="BM300" s="87"/>
      <c r="BN300" s="87"/>
      <c r="BO300" s="87"/>
      <c r="BP300" s="87"/>
      <c r="BQ300" s="87"/>
      <c r="BR300" s="87"/>
      <c r="BS300" s="87"/>
      <c r="BT300" s="87"/>
      <c r="BU300" s="87"/>
      <c r="BV300" s="87"/>
      <c r="BW300" s="87"/>
      <c r="BX300" s="87"/>
      <c r="BY300" s="87"/>
    </row>
    <row r="301" spans="1:77" ht="15">
      <c r="A301" s="87"/>
      <c r="B301" s="87"/>
      <c r="C301" s="87"/>
      <c r="D301" s="270"/>
      <c r="E301" s="270"/>
      <c r="F301" s="270"/>
      <c r="G301" s="270"/>
      <c r="H301" s="270"/>
      <c r="I301" s="270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7"/>
      <c r="BB301" s="87"/>
      <c r="BC301" s="87"/>
      <c r="BD301" s="87"/>
      <c r="BE301" s="87"/>
      <c r="BF301" s="87"/>
      <c r="BG301" s="87"/>
      <c r="BH301" s="87"/>
      <c r="BI301" s="87"/>
      <c r="BJ301" s="87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87"/>
      <c r="BY301" s="87"/>
    </row>
    <row r="302" spans="1:77" ht="15">
      <c r="A302" s="87"/>
      <c r="B302" s="87"/>
      <c r="C302" s="87"/>
      <c r="D302" s="270"/>
      <c r="E302" s="270"/>
      <c r="F302" s="270"/>
      <c r="G302" s="270"/>
      <c r="H302" s="270"/>
      <c r="I302" s="270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  <c r="BE302" s="87"/>
      <c r="BF302" s="87"/>
      <c r="BG302" s="87"/>
      <c r="BH302" s="87"/>
      <c r="BI302" s="87"/>
      <c r="BJ302" s="87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/>
      <c r="BX302" s="87"/>
      <c r="BY302" s="87"/>
    </row>
    <row r="303" spans="1:77" ht="15">
      <c r="A303" s="87"/>
      <c r="B303" s="87"/>
      <c r="C303" s="87"/>
      <c r="D303" s="270"/>
      <c r="E303" s="270"/>
      <c r="F303" s="270"/>
      <c r="G303" s="270"/>
      <c r="H303" s="270"/>
      <c r="I303" s="270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  <c r="BE303" s="87"/>
      <c r="BF303" s="87"/>
      <c r="BG303" s="87"/>
      <c r="BH303" s="87"/>
      <c r="BI303" s="87"/>
      <c r="BJ303" s="87"/>
      <c r="BK303" s="87"/>
      <c r="BL303" s="87"/>
      <c r="BM303" s="87"/>
      <c r="BN303" s="87"/>
      <c r="BO303" s="87"/>
      <c r="BP303" s="87"/>
      <c r="BQ303" s="87"/>
      <c r="BR303" s="87"/>
      <c r="BS303" s="87"/>
      <c r="BT303" s="87"/>
      <c r="BU303" s="87"/>
      <c r="BV303" s="87"/>
      <c r="BW303" s="87"/>
      <c r="BX303" s="87"/>
      <c r="BY303" s="87"/>
    </row>
    <row r="304" spans="1:77" ht="15">
      <c r="A304" s="87"/>
      <c r="B304" s="87"/>
      <c r="C304" s="87"/>
      <c r="D304" s="270"/>
      <c r="E304" s="270"/>
      <c r="F304" s="270"/>
      <c r="G304" s="270"/>
      <c r="H304" s="270"/>
      <c r="I304" s="270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  <c r="BE304" s="87"/>
      <c r="BF304" s="87"/>
      <c r="BG304" s="87"/>
      <c r="BH304" s="87"/>
      <c r="BI304" s="87"/>
      <c r="BJ304" s="87"/>
      <c r="BK304" s="87"/>
      <c r="BL304" s="87"/>
      <c r="BM304" s="87"/>
      <c r="BN304" s="87"/>
      <c r="BO304" s="87"/>
      <c r="BP304" s="87"/>
      <c r="BQ304" s="87"/>
      <c r="BR304" s="87"/>
      <c r="BS304" s="87"/>
      <c r="BT304" s="87"/>
      <c r="BU304" s="87"/>
      <c r="BV304" s="87"/>
      <c r="BW304" s="87"/>
      <c r="BX304" s="87"/>
      <c r="BY304" s="87"/>
    </row>
    <row r="305" spans="1:77" ht="15">
      <c r="A305" s="87"/>
      <c r="B305" s="87"/>
      <c r="C305" s="87"/>
      <c r="D305" s="270"/>
      <c r="E305" s="270"/>
      <c r="F305" s="270"/>
      <c r="G305" s="270"/>
      <c r="H305" s="270"/>
      <c r="I305" s="270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  <c r="BG305" s="87"/>
      <c r="BH305" s="87"/>
      <c r="BI305" s="87"/>
      <c r="BJ305" s="87"/>
      <c r="BK305" s="87"/>
      <c r="BL305" s="87"/>
      <c r="BM305" s="87"/>
      <c r="BN305" s="87"/>
      <c r="BO305" s="87"/>
      <c r="BP305" s="87"/>
      <c r="BQ305" s="87"/>
      <c r="BR305" s="87"/>
      <c r="BS305" s="87"/>
      <c r="BT305" s="87"/>
      <c r="BU305" s="87"/>
      <c r="BV305" s="87"/>
      <c r="BW305" s="87"/>
      <c r="BX305" s="87"/>
      <c r="BY305" s="87"/>
    </row>
    <row r="306" spans="1:77" ht="15">
      <c r="A306" s="87"/>
      <c r="B306" s="87"/>
      <c r="C306" s="87"/>
      <c r="D306" s="270"/>
      <c r="E306" s="270"/>
      <c r="F306" s="270"/>
      <c r="G306" s="270"/>
      <c r="H306" s="270"/>
      <c r="I306" s="270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  <c r="BD306" s="87"/>
      <c r="BE306" s="87"/>
      <c r="BF306" s="87"/>
      <c r="BG306" s="87"/>
      <c r="BH306" s="87"/>
      <c r="BI306" s="87"/>
      <c r="BJ306" s="87"/>
      <c r="BK306" s="87"/>
      <c r="BL306" s="87"/>
      <c r="BM306" s="87"/>
      <c r="BN306" s="87"/>
      <c r="BO306" s="87"/>
      <c r="BP306" s="87"/>
      <c r="BQ306" s="87"/>
      <c r="BR306" s="87"/>
      <c r="BS306" s="87"/>
      <c r="BT306" s="87"/>
      <c r="BU306" s="87"/>
      <c r="BV306" s="87"/>
      <c r="BW306" s="87"/>
      <c r="BX306" s="87"/>
      <c r="BY306" s="87"/>
    </row>
    <row r="307" spans="1:77" ht="15">
      <c r="A307" s="87"/>
      <c r="B307" s="87"/>
      <c r="C307" s="87"/>
      <c r="D307" s="270"/>
      <c r="E307" s="270"/>
      <c r="F307" s="270"/>
      <c r="G307" s="270"/>
      <c r="H307" s="270"/>
      <c r="I307" s="270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  <c r="BE307" s="87"/>
      <c r="BF307" s="87"/>
      <c r="BG307" s="87"/>
      <c r="BH307" s="87"/>
      <c r="BI307" s="87"/>
      <c r="BJ307" s="87"/>
      <c r="BK307" s="87"/>
      <c r="BL307" s="87"/>
      <c r="BM307" s="87"/>
      <c r="BN307" s="87"/>
      <c r="BO307" s="87"/>
      <c r="BP307" s="87"/>
      <c r="BQ307" s="87"/>
      <c r="BR307" s="87"/>
      <c r="BS307" s="87"/>
      <c r="BT307" s="87"/>
      <c r="BU307" s="87"/>
      <c r="BV307" s="87"/>
      <c r="BW307" s="87"/>
      <c r="BX307" s="87"/>
      <c r="BY307" s="87"/>
    </row>
    <row r="308" spans="1:77" ht="15">
      <c r="A308" s="87"/>
      <c r="B308" s="87"/>
      <c r="C308" s="87"/>
      <c r="D308" s="270"/>
      <c r="E308" s="270"/>
      <c r="F308" s="270"/>
      <c r="G308" s="270"/>
      <c r="H308" s="270"/>
      <c r="I308" s="270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87"/>
      <c r="BM308" s="87"/>
      <c r="BN308" s="87"/>
      <c r="BO308" s="87"/>
      <c r="BP308" s="87"/>
      <c r="BQ308" s="87"/>
      <c r="BR308" s="87"/>
      <c r="BS308" s="87"/>
      <c r="BT308" s="87"/>
      <c r="BU308" s="87"/>
      <c r="BV308" s="87"/>
      <c r="BW308" s="87"/>
      <c r="BX308" s="87"/>
      <c r="BY308" s="87"/>
    </row>
    <row r="309" spans="1:77" ht="15">
      <c r="A309" s="87"/>
      <c r="B309" s="87"/>
      <c r="C309" s="87"/>
      <c r="D309" s="270"/>
      <c r="E309" s="270"/>
      <c r="F309" s="270"/>
      <c r="G309" s="270"/>
      <c r="H309" s="270"/>
      <c r="I309" s="270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87"/>
      <c r="BM309" s="87"/>
      <c r="BN309" s="87"/>
      <c r="BO309" s="87"/>
      <c r="BP309" s="87"/>
      <c r="BQ309" s="87"/>
      <c r="BR309" s="87"/>
      <c r="BS309" s="87"/>
      <c r="BT309" s="87"/>
      <c r="BU309" s="87"/>
      <c r="BV309" s="87"/>
      <c r="BW309" s="87"/>
      <c r="BX309" s="87"/>
      <c r="BY309" s="87"/>
    </row>
    <row r="310" spans="1:77" ht="15">
      <c r="A310" s="87"/>
      <c r="B310" s="87"/>
      <c r="C310" s="87"/>
      <c r="D310" s="270"/>
      <c r="E310" s="270"/>
      <c r="F310" s="270"/>
      <c r="G310" s="270"/>
      <c r="H310" s="270"/>
      <c r="I310" s="270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87"/>
      <c r="BM310" s="87"/>
      <c r="BN310" s="87"/>
      <c r="BO310" s="87"/>
      <c r="BP310" s="87"/>
      <c r="BQ310" s="87"/>
      <c r="BR310" s="87"/>
      <c r="BS310" s="87"/>
      <c r="BT310" s="87"/>
      <c r="BU310" s="87"/>
      <c r="BV310" s="87"/>
      <c r="BW310" s="87"/>
      <c r="BX310" s="87"/>
      <c r="BY310" s="87"/>
    </row>
    <row r="311" spans="1:77" ht="15">
      <c r="A311" s="87"/>
      <c r="B311" s="87"/>
      <c r="C311" s="87"/>
      <c r="D311" s="270"/>
      <c r="E311" s="270"/>
      <c r="F311" s="270"/>
      <c r="G311" s="270"/>
      <c r="H311" s="270"/>
      <c r="I311" s="270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87"/>
      <c r="BM311" s="87"/>
      <c r="BN311" s="87"/>
      <c r="BO311" s="87"/>
      <c r="BP311" s="87"/>
      <c r="BQ311" s="87"/>
      <c r="BR311" s="87"/>
      <c r="BS311" s="87"/>
      <c r="BT311" s="87"/>
      <c r="BU311" s="87"/>
      <c r="BV311" s="87"/>
      <c r="BW311" s="87"/>
      <c r="BX311" s="87"/>
      <c r="BY311" s="87"/>
    </row>
    <row r="312" spans="1:77" ht="15">
      <c r="A312" s="87"/>
      <c r="B312" s="87"/>
      <c r="C312" s="87"/>
      <c r="D312" s="270"/>
      <c r="E312" s="270"/>
      <c r="F312" s="270"/>
      <c r="G312" s="270"/>
      <c r="H312" s="270"/>
      <c r="I312" s="270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  <c r="BE312" s="87"/>
      <c r="BF312" s="87"/>
      <c r="BG312" s="87"/>
      <c r="BH312" s="87"/>
      <c r="BI312" s="87"/>
      <c r="BJ312" s="87"/>
      <c r="BK312" s="87"/>
      <c r="BL312" s="87"/>
      <c r="BM312" s="87"/>
      <c r="BN312" s="87"/>
      <c r="BO312" s="87"/>
      <c r="BP312" s="87"/>
      <c r="BQ312" s="87"/>
      <c r="BR312" s="87"/>
      <c r="BS312" s="87"/>
      <c r="BT312" s="87"/>
      <c r="BU312" s="87"/>
      <c r="BV312" s="87"/>
      <c r="BW312" s="87"/>
      <c r="BX312" s="87"/>
      <c r="BY312" s="87"/>
    </row>
    <row r="313" spans="1:77" ht="15">
      <c r="A313" s="87"/>
      <c r="B313" s="87"/>
      <c r="C313" s="87"/>
      <c r="D313" s="270"/>
      <c r="E313" s="270"/>
      <c r="F313" s="270"/>
      <c r="G313" s="270"/>
      <c r="H313" s="270"/>
      <c r="I313" s="270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/>
      <c r="BJ313" s="87"/>
      <c r="BK313" s="87"/>
      <c r="BL313" s="87"/>
      <c r="BM313" s="87"/>
      <c r="BN313" s="87"/>
      <c r="BO313" s="87"/>
      <c r="BP313" s="87"/>
      <c r="BQ313" s="87"/>
      <c r="BR313" s="87"/>
      <c r="BS313" s="87"/>
      <c r="BT313" s="87"/>
      <c r="BU313" s="87"/>
      <c r="BV313" s="87"/>
      <c r="BW313" s="87"/>
      <c r="BX313" s="87"/>
      <c r="BY313" s="87"/>
    </row>
    <row r="314" spans="1:77" ht="15">
      <c r="A314" s="87"/>
      <c r="B314" s="87"/>
      <c r="C314" s="87"/>
      <c r="D314" s="87"/>
      <c r="E314" s="127"/>
      <c r="F314" s="127"/>
      <c r="G314" s="127"/>
      <c r="H314" s="127"/>
      <c r="I314" s="12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  <c r="BG314" s="87"/>
      <c r="BH314" s="87"/>
      <c r="BI314" s="87"/>
      <c r="BJ314" s="87"/>
      <c r="BK314" s="87"/>
      <c r="BL314" s="87"/>
      <c r="BM314" s="87"/>
      <c r="BN314" s="87"/>
      <c r="BO314" s="87"/>
      <c r="BP314" s="87"/>
      <c r="BQ314" s="87"/>
      <c r="BR314" s="87"/>
      <c r="BS314" s="87"/>
      <c r="BT314" s="87"/>
      <c r="BU314" s="87"/>
      <c r="BV314" s="87"/>
      <c r="BW314" s="87"/>
      <c r="BX314" s="87"/>
      <c r="BY314" s="87"/>
    </row>
    <row r="315" spans="1:77" ht="15">
      <c r="A315" s="87"/>
      <c r="B315" s="87"/>
      <c r="C315" s="87"/>
      <c r="D315" s="87"/>
      <c r="E315" s="127"/>
      <c r="F315" s="127"/>
      <c r="G315" s="127"/>
      <c r="H315" s="127"/>
      <c r="I315" s="12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/>
      <c r="BD315" s="87"/>
      <c r="BE315" s="87"/>
      <c r="BF315" s="87"/>
      <c r="BG315" s="87"/>
      <c r="BH315" s="87"/>
      <c r="BI315" s="87"/>
      <c r="BJ315" s="87"/>
      <c r="BK315" s="87"/>
      <c r="BL315" s="87"/>
      <c r="BM315" s="87"/>
      <c r="BN315" s="87"/>
      <c r="BO315" s="87"/>
      <c r="BP315" s="87"/>
      <c r="BQ315" s="87"/>
      <c r="BR315" s="87"/>
      <c r="BS315" s="87"/>
      <c r="BT315" s="87"/>
      <c r="BU315" s="87"/>
      <c r="BV315" s="87"/>
      <c r="BW315" s="87"/>
      <c r="BX315" s="87"/>
      <c r="BY315" s="87"/>
    </row>
    <row r="316" spans="1:77" ht="15">
      <c r="A316" s="87"/>
      <c r="B316" s="87"/>
      <c r="C316" s="87"/>
      <c r="D316" s="87"/>
      <c r="E316" s="127"/>
      <c r="F316" s="127"/>
      <c r="G316" s="127"/>
      <c r="H316" s="127"/>
      <c r="I316" s="12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  <c r="BE316" s="87"/>
      <c r="BF316" s="87"/>
      <c r="BG316" s="87"/>
      <c r="BH316" s="87"/>
      <c r="BI316" s="87"/>
      <c r="BJ316" s="87"/>
      <c r="BK316" s="87"/>
      <c r="BL316" s="87"/>
      <c r="BM316" s="87"/>
      <c r="BN316" s="87"/>
      <c r="BO316" s="87"/>
      <c r="BP316" s="87"/>
      <c r="BQ316" s="87"/>
      <c r="BR316" s="87"/>
      <c r="BS316" s="87"/>
      <c r="BT316" s="87"/>
      <c r="BU316" s="87"/>
      <c r="BV316" s="87"/>
      <c r="BW316" s="87"/>
      <c r="BX316" s="87"/>
      <c r="BY316" s="87"/>
    </row>
    <row r="317" spans="1:77" ht="15">
      <c r="A317" s="87"/>
      <c r="B317" s="87"/>
      <c r="C317" s="87"/>
      <c r="D317" s="87"/>
      <c r="E317" s="127"/>
      <c r="F317" s="127"/>
      <c r="G317" s="127"/>
      <c r="H317" s="127"/>
      <c r="I317" s="12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  <c r="BE317" s="87"/>
      <c r="BF317" s="87"/>
      <c r="BG317" s="87"/>
      <c r="BH317" s="87"/>
      <c r="BI317" s="87"/>
      <c r="BJ317" s="87"/>
      <c r="BK317" s="87"/>
      <c r="BL317" s="87"/>
      <c r="BM317" s="87"/>
      <c r="BN317" s="87"/>
      <c r="BO317" s="87"/>
      <c r="BP317" s="87"/>
      <c r="BQ317" s="87"/>
      <c r="BR317" s="87"/>
      <c r="BS317" s="87"/>
      <c r="BT317" s="87"/>
      <c r="BU317" s="87"/>
      <c r="BV317" s="87"/>
      <c r="BW317" s="87"/>
      <c r="BX317" s="87"/>
      <c r="BY317" s="87"/>
    </row>
    <row r="318" spans="1:77" ht="15">
      <c r="A318" s="87"/>
      <c r="B318" s="87"/>
      <c r="C318" s="87"/>
      <c r="D318" s="87"/>
      <c r="E318" s="127"/>
      <c r="F318" s="127"/>
      <c r="G318" s="127"/>
      <c r="H318" s="127"/>
      <c r="I318" s="12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  <c r="BE318" s="87"/>
      <c r="BF318" s="87"/>
      <c r="BG318" s="87"/>
      <c r="BH318" s="87"/>
      <c r="BI318" s="87"/>
      <c r="BJ318" s="87"/>
      <c r="BK318" s="87"/>
      <c r="BL318" s="87"/>
      <c r="BM318" s="87"/>
      <c r="BN318" s="87"/>
      <c r="BO318" s="87"/>
      <c r="BP318" s="87"/>
      <c r="BQ318" s="87"/>
      <c r="BR318" s="87"/>
      <c r="BS318" s="87"/>
      <c r="BT318" s="87"/>
      <c r="BU318" s="87"/>
      <c r="BV318" s="87"/>
      <c r="BW318" s="87"/>
      <c r="BX318" s="87"/>
      <c r="BY318" s="87"/>
    </row>
    <row r="319" spans="1:77" ht="15">
      <c r="A319" s="87"/>
      <c r="B319" s="87"/>
      <c r="C319" s="87"/>
      <c r="D319" s="87"/>
      <c r="E319" s="127"/>
      <c r="F319" s="127"/>
      <c r="G319" s="127"/>
      <c r="H319" s="127"/>
      <c r="I319" s="12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  <c r="BE319" s="87"/>
      <c r="BF319" s="87"/>
      <c r="BG319" s="87"/>
      <c r="BH319" s="87"/>
      <c r="BI319" s="87"/>
      <c r="BJ319" s="87"/>
      <c r="BK319" s="87"/>
      <c r="BL319" s="87"/>
      <c r="BM319" s="87"/>
      <c r="BN319" s="87"/>
      <c r="BO319" s="87"/>
      <c r="BP319" s="87"/>
      <c r="BQ319" s="87"/>
      <c r="BR319" s="87"/>
      <c r="BS319" s="87"/>
      <c r="BT319" s="87"/>
      <c r="BU319" s="87"/>
      <c r="BV319" s="87"/>
      <c r="BW319" s="87"/>
      <c r="BX319" s="87"/>
      <c r="BY319" s="87"/>
    </row>
    <row r="320" spans="1:77" ht="15">
      <c r="A320" s="87"/>
      <c r="B320" s="87"/>
      <c r="C320" s="87"/>
      <c r="D320" s="87"/>
      <c r="E320" s="127"/>
      <c r="F320" s="127"/>
      <c r="G320" s="127"/>
      <c r="H320" s="127"/>
      <c r="I320" s="12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  <c r="BM320" s="87"/>
      <c r="BN320" s="87"/>
      <c r="BO320" s="87"/>
      <c r="BP320" s="87"/>
      <c r="BQ320" s="87"/>
      <c r="BR320" s="87"/>
      <c r="BS320" s="87"/>
      <c r="BT320" s="87"/>
      <c r="BU320" s="87"/>
      <c r="BV320" s="87"/>
      <c r="BW320" s="87"/>
      <c r="BX320" s="87"/>
      <c r="BY320" s="87"/>
    </row>
    <row r="321" spans="1:77" ht="15">
      <c r="A321" s="87"/>
      <c r="B321" s="87"/>
      <c r="C321" s="87"/>
      <c r="D321" s="87"/>
      <c r="E321" s="127"/>
      <c r="F321" s="127"/>
      <c r="G321" s="127"/>
      <c r="H321" s="127"/>
      <c r="I321" s="12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7"/>
      <c r="BT321" s="87"/>
      <c r="BU321" s="87"/>
      <c r="BV321" s="87"/>
      <c r="BW321" s="87"/>
      <c r="BX321" s="87"/>
      <c r="BY321" s="87"/>
    </row>
    <row r="322" spans="1:77" ht="15">
      <c r="A322" s="87"/>
      <c r="B322" s="87"/>
      <c r="C322" s="87"/>
      <c r="D322" s="87"/>
      <c r="E322" s="127"/>
      <c r="F322" s="127"/>
      <c r="G322" s="127"/>
      <c r="H322" s="127"/>
      <c r="I322" s="12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87"/>
      <c r="BD322" s="87"/>
      <c r="BE322" s="87"/>
      <c r="BF322" s="87"/>
      <c r="BG322" s="87"/>
      <c r="BH322" s="87"/>
      <c r="BI322" s="87"/>
      <c r="BJ322" s="87"/>
      <c r="BK322" s="87"/>
      <c r="BL322" s="87"/>
      <c r="BM322" s="87"/>
      <c r="BN322" s="87"/>
      <c r="BO322" s="87"/>
      <c r="BP322" s="87"/>
      <c r="BQ322" s="87"/>
      <c r="BR322" s="87"/>
      <c r="BS322" s="87"/>
      <c r="BT322" s="87"/>
      <c r="BU322" s="87"/>
      <c r="BV322" s="87"/>
      <c r="BW322" s="87"/>
      <c r="BX322" s="87"/>
      <c r="BY322" s="87"/>
    </row>
    <row r="323" spans="1:77" ht="15">
      <c r="A323" s="87"/>
      <c r="B323" s="87"/>
      <c r="C323" s="87"/>
      <c r="D323" s="87"/>
      <c r="E323" s="127"/>
      <c r="F323" s="127"/>
      <c r="G323" s="127"/>
      <c r="H323" s="127"/>
      <c r="I323" s="12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  <c r="BE323" s="87"/>
      <c r="BF323" s="87"/>
      <c r="BG323" s="87"/>
      <c r="BH323" s="87"/>
      <c r="BI323" s="87"/>
      <c r="BJ323" s="87"/>
      <c r="BK323" s="87"/>
      <c r="BL323" s="87"/>
      <c r="BM323" s="87"/>
      <c r="BN323" s="87"/>
      <c r="BO323" s="87"/>
      <c r="BP323" s="87"/>
      <c r="BQ323" s="87"/>
      <c r="BR323" s="87"/>
      <c r="BS323" s="87"/>
      <c r="BT323" s="87"/>
      <c r="BU323" s="87"/>
      <c r="BV323" s="87"/>
      <c r="BW323" s="87"/>
      <c r="BX323" s="87"/>
      <c r="BY323" s="87"/>
    </row>
    <row r="324" spans="1:77" ht="15">
      <c r="A324" s="87"/>
      <c r="B324" s="87"/>
      <c r="C324" s="87"/>
      <c r="D324" s="87"/>
      <c r="E324" s="127"/>
      <c r="F324" s="127"/>
      <c r="G324" s="127"/>
      <c r="H324" s="127"/>
      <c r="I324" s="12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7"/>
      <c r="BB324" s="87"/>
      <c r="BC324" s="87"/>
      <c r="BD324" s="87"/>
      <c r="BE324" s="87"/>
      <c r="BF324" s="87"/>
      <c r="BG324" s="87"/>
      <c r="BH324" s="87"/>
      <c r="BI324" s="87"/>
      <c r="BJ324" s="87"/>
      <c r="BK324" s="87"/>
      <c r="BL324" s="87"/>
      <c r="BM324" s="87"/>
      <c r="BN324" s="87"/>
      <c r="BO324" s="87"/>
      <c r="BP324" s="87"/>
      <c r="BQ324" s="87"/>
      <c r="BR324" s="87"/>
      <c r="BS324" s="87"/>
      <c r="BT324" s="87"/>
      <c r="BU324" s="87"/>
      <c r="BV324" s="87"/>
      <c r="BW324" s="87"/>
      <c r="BX324" s="87"/>
      <c r="BY324" s="87"/>
    </row>
    <row r="325" spans="1:77" ht="15">
      <c r="A325" s="87"/>
      <c r="B325" s="87"/>
      <c r="C325" s="87"/>
      <c r="D325" s="87"/>
      <c r="E325" s="127"/>
      <c r="F325" s="127"/>
      <c r="G325" s="127"/>
      <c r="H325" s="127"/>
      <c r="I325" s="12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7"/>
      <c r="BB325" s="87"/>
      <c r="BC325" s="87"/>
      <c r="BD325" s="87"/>
      <c r="BE325" s="87"/>
      <c r="BF325" s="87"/>
      <c r="BG325" s="87"/>
      <c r="BH325" s="87"/>
      <c r="BI325" s="87"/>
      <c r="BJ325" s="87"/>
      <c r="BK325" s="87"/>
      <c r="BL325" s="87"/>
      <c r="BM325" s="87"/>
      <c r="BN325" s="87"/>
      <c r="BO325" s="87"/>
      <c r="BP325" s="87"/>
      <c r="BQ325" s="87"/>
      <c r="BR325" s="87"/>
      <c r="BS325" s="87"/>
      <c r="BT325" s="87"/>
      <c r="BU325" s="87"/>
      <c r="BV325" s="87"/>
      <c r="BW325" s="87"/>
      <c r="BX325" s="87"/>
      <c r="BY325" s="87"/>
    </row>
    <row r="326" spans="1:77" ht="15">
      <c r="A326" s="87"/>
      <c r="B326" s="87"/>
      <c r="C326" s="87"/>
      <c r="D326" s="87"/>
      <c r="E326" s="127"/>
      <c r="F326" s="127"/>
      <c r="G326" s="127"/>
      <c r="H326" s="127"/>
      <c r="I326" s="12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7"/>
      <c r="BB326" s="87"/>
      <c r="BC326" s="87"/>
      <c r="BD326" s="87"/>
      <c r="BE326" s="87"/>
      <c r="BF326" s="87"/>
      <c r="BG326" s="87"/>
      <c r="BH326" s="87"/>
      <c r="BI326" s="87"/>
      <c r="BJ326" s="87"/>
      <c r="BK326" s="87"/>
      <c r="BL326" s="87"/>
      <c r="BM326" s="87"/>
      <c r="BN326" s="87"/>
      <c r="BO326" s="87"/>
      <c r="BP326" s="87"/>
      <c r="BQ326" s="87"/>
      <c r="BR326" s="87"/>
      <c r="BS326" s="87"/>
      <c r="BT326" s="87"/>
      <c r="BU326" s="87"/>
      <c r="BV326" s="87"/>
      <c r="BW326" s="87"/>
      <c r="BX326" s="87"/>
      <c r="BY326" s="87"/>
    </row>
    <row r="327" spans="1:77" ht="15">
      <c r="A327" s="87"/>
      <c r="B327" s="87"/>
      <c r="C327" s="87"/>
      <c r="D327" s="87"/>
      <c r="E327" s="127"/>
      <c r="F327" s="127"/>
      <c r="G327" s="127"/>
      <c r="H327" s="127"/>
      <c r="I327" s="12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  <c r="BE327" s="87"/>
      <c r="BF327" s="87"/>
      <c r="BG327" s="87"/>
      <c r="BH327" s="87"/>
      <c r="BI327" s="87"/>
      <c r="BJ327" s="87"/>
      <c r="BK327" s="87"/>
      <c r="BL327" s="87"/>
      <c r="BM327" s="87"/>
      <c r="BN327" s="87"/>
      <c r="BO327" s="87"/>
      <c r="BP327" s="87"/>
      <c r="BQ327" s="87"/>
      <c r="BR327" s="87"/>
      <c r="BS327" s="87"/>
      <c r="BT327" s="87"/>
      <c r="BU327" s="87"/>
      <c r="BV327" s="87"/>
      <c r="BW327" s="87"/>
      <c r="BX327" s="87"/>
      <c r="BY327" s="87"/>
    </row>
    <row r="328" spans="1:77" ht="15">
      <c r="A328" s="87"/>
      <c r="B328" s="87"/>
      <c r="C328" s="87"/>
      <c r="D328" s="87"/>
      <c r="E328" s="127"/>
      <c r="F328" s="127"/>
      <c r="G328" s="127"/>
      <c r="H328" s="127"/>
      <c r="I328" s="12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7"/>
      <c r="AX328" s="87"/>
      <c r="AY328" s="87"/>
      <c r="AZ328" s="87"/>
      <c r="BA328" s="87"/>
      <c r="BB328" s="87"/>
      <c r="BC328" s="87"/>
      <c r="BD328" s="87"/>
      <c r="BE328" s="87"/>
      <c r="BF328" s="87"/>
      <c r="BG328" s="87"/>
      <c r="BH328" s="87"/>
      <c r="BI328" s="87"/>
      <c r="BJ328" s="87"/>
      <c r="BK328" s="87"/>
      <c r="BL328" s="87"/>
      <c r="BM328" s="87"/>
      <c r="BN328" s="87"/>
      <c r="BO328" s="87"/>
      <c r="BP328" s="87"/>
      <c r="BQ328" s="87"/>
      <c r="BR328" s="87"/>
      <c r="BS328" s="87"/>
      <c r="BT328" s="87"/>
      <c r="BU328" s="87"/>
      <c r="BV328" s="87"/>
      <c r="BW328" s="87"/>
      <c r="BX328" s="87"/>
      <c r="BY328" s="87"/>
    </row>
    <row r="329" spans="1:77" ht="15">
      <c r="A329" s="87"/>
      <c r="B329" s="87"/>
      <c r="C329" s="87"/>
      <c r="D329" s="87"/>
      <c r="E329" s="127"/>
      <c r="F329" s="127"/>
      <c r="G329" s="127"/>
      <c r="H329" s="127"/>
      <c r="I329" s="12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7"/>
      <c r="BB329" s="87"/>
      <c r="BC329" s="87"/>
      <c r="BD329" s="87"/>
      <c r="BE329" s="87"/>
      <c r="BF329" s="87"/>
      <c r="BG329" s="87"/>
      <c r="BH329" s="87"/>
      <c r="BI329" s="87"/>
      <c r="BJ329" s="87"/>
      <c r="BK329" s="87"/>
      <c r="BL329" s="87"/>
      <c r="BM329" s="87"/>
      <c r="BN329" s="87"/>
      <c r="BO329" s="87"/>
      <c r="BP329" s="87"/>
      <c r="BQ329" s="87"/>
      <c r="BR329" s="87"/>
      <c r="BS329" s="87"/>
      <c r="BT329" s="87"/>
      <c r="BU329" s="87"/>
      <c r="BV329" s="87"/>
      <c r="BW329" s="87"/>
      <c r="BX329" s="87"/>
      <c r="BY329" s="87"/>
    </row>
    <row r="330" spans="1:77" ht="15">
      <c r="A330" s="87"/>
      <c r="B330" s="87"/>
      <c r="C330" s="87"/>
      <c r="D330" s="87"/>
      <c r="E330" s="127"/>
      <c r="F330" s="127"/>
      <c r="G330" s="127"/>
      <c r="H330" s="127"/>
      <c r="I330" s="12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  <c r="AY330" s="87"/>
      <c r="AZ330" s="87"/>
      <c r="BA330" s="87"/>
      <c r="BB330" s="87"/>
      <c r="BC330" s="87"/>
      <c r="BD330" s="87"/>
      <c r="BE330" s="87"/>
      <c r="BF330" s="87"/>
      <c r="BG330" s="87"/>
      <c r="BH330" s="87"/>
      <c r="BI330" s="87"/>
      <c r="BJ330" s="87"/>
      <c r="BK330" s="87"/>
      <c r="BL330" s="87"/>
      <c r="BM330" s="87"/>
      <c r="BN330" s="87"/>
      <c r="BO330" s="87"/>
      <c r="BP330" s="87"/>
      <c r="BQ330" s="87"/>
      <c r="BR330" s="87"/>
      <c r="BS330" s="87"/>
      <c r="BT330" s="87"/>
      <c r="BU330" s="87"/>
      <c r="BV330" s="87"/>
      <c r="BW330" s="87"/>
      <c r="BX330" s="87"/>
      <c r="BY330" s="87"/>
    </row>
    <row r="331" spans="1:77" ht="15">
      <c r="A331" s="87"/>
      <c r="B331" s="87"/>
      <c r="C331" s="87"/>
      <c r="D331" s="87"/>
      <c r="E331" s="127"/>
      <c r="F331" s="127"/>
      <c r="G331" s="127"/>
      <c r="H331" s="127"/>
      <c r="I331" s="12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87"/>
      <c r="BD331" s="87"/>
      <c r="BE331" s="87"/>
      <c r="BF331" s="87"/>
      <c r="BG331" s="87"/>
      <c r="BH331" s="87"/>
      <c r="BI331" s="87"/>
      <c r="BJ331" s="87"/>
      <c r="BK331" s="87"/>
      <c r="BL331" s="87"/>
      <c r="BM331" s="87"/>
      <c r="BN331" s="87"/>
      <c r="BO331" s="87"/>
      <c r="BP331" s="87"/>
      <c r="BQ331" s="87"/>
      <c r="BR331" s="87"/>
      <c r="BS331" s="87"/>
      <c r="BT331" s="87"/>
      <c r="BU331" s="87"/>
      <c r="BV331" s="87"/>
      <c r="BW331" s="87"/>
      <c r="BX331" s="87"/>
      <c r="BY331" s="87"/>
    </row>
    <row r="332" spans="1:77" ht="15">
      <c r="A332" s="87"/>
      <c r="B332" s="87"/>
      <c r="C332" s="87"/>
      <c r="D332" s="87"/>
      <c r="E332" s="127"/>
      <c r="F332" s="127"/>
      <c r="G332" s="127"/>
      <c r="H332" s="127"/>
      <c r="I332" s="12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  <c r="BE332" s="87"/>
      <c r="BF332" s="87"/>
      <c r="BG332" s="87"/>
      <c r="BH332" s="87"/>
      <c r="BI332" s="87"/>
      <c r="BJ332" s="87"/>
      <c r="BK332" s="87"/>
      <c r="BL332" s="87"/>
      <c r="BM332" s="87"/>
      <c r="BN332" s="87"/>
      <c r="BO332" s="87"/>
      <c r="BP332" s="87"/>
      <c r="BQ332" s="87"/>
      <c r="BR332" s="87"/>
      <c r="BS332" s="87"/>
      <c r="BT332" s="87"/>
      <c r="BU332" s="87"/>
      <c r="BV332" s="87"/>
      <c r="BW332" s="87"/>
      <c r="BX332" s="87"/>
      <c r="BY332" s="87"/>
    </row>
    <row r="333" spans="1:77" ht="15">
      <c r="A333" s="87"/>
      <c r="B333" s="87"/>
      <c r="C333" s="87"/>
      <c r="D333" s="87"/>
      <c r="E333" s="127"/>
      <c r="F333" s="127"/>
      <c r="G333" s="127"/>
      <c r="H333" s="127"/>
      <c r="I333" s="12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87"/>
      <c r="BD333" s="87"/>
      <c r="BE333" s="87"/>
      <c r="BF333" s="87"/>
      <c r="BG333" s="87"/>
      <c r="BH333" s="87"/>
      <c r="BI333" s="87"/>
      <c r="BJ333" s="87"/>
      <c r="BK333" s="87"/>
      <c r="BL333" s="87"/>
      <c r="BM333" s="87"/>
      <c r="BN333" s="87"/>
      <c r="BO333" s="87"/>
      <c r="BP333" s="87"/>
      <c r="BQ333" s="87"/>
      <c r="BR333" s="87"/>
      <c r="BS333" s="87"/>
      <c r="BT333" s="87"/>
      <c r="BU333" s="87"/>
      <c r="BV333" s="87"/>
      <c r="BW333" s="87"/>
      <c r="BX333" s="87"/>
      <c r="BY333" s="87"/>
    </row>
    <row r="334" spans="1:77" ht="15">
      <c r="A334" s="87"/>
      <c r="B334" s="87"/>
      <c r="C334" s="87"/>
      <c r="D334" s="87"/>
      <c r="E334" s="127"/>
      <c r="F334" s="127"/>
      <c r="G334" s="127"/>
      <c r="H334" s="127"/>
      <c r="I334" s="12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87"/>
      <c r="BD334" s="87"/>
      <c r="BE334" s="87"/>
      <c r="BF334" s="87"/>
      <c r="BG334" s="87"/>
      <c r="BH334" s="87"/>
      <c r="BI334" s="87"/>
      <c r="BJ334" s="87"/>
      <c r="BK334" s="87"/>
      <c r="BL334" s="87"/>
      <c r="BM334" s="87"/>
      <c r="BN334" s="87"/>
      <c r="BO334" s="87"/>
      <c r="BP334" s="87"/>
      <c r="BQ334" s="87"/>
      <c r="BR334" s="87"/>
      <c r="BS334" s="87"/>
      <c r="BT334" s="87"/>
      <c r="BU334" s="87"/>
      <c r="BV334" s="87"/>
      <c r="BW334" s="87"/>
      <c r="BX334" s="87"/>
      <c r="BY334" s="87"/>
    </row>
    <row r="335" spans="1:77" ht="15">
      <c r="A335" s="87"/>
      <c r="B335" s="87"/>
      <c r="C335" s="87"/>
      <c r="D335" s="87"/>
      <c r="E335" s="127"/>
      <c r="F335" s="127"/>
      <c r="G335" s="127"/>
      <c r="H335" s="127"/>
      <c r="I335" s="12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87"/>
      <c r="BD335" s="87"/>
      <c r="BE335" s="87"/>
      <c r="BF335" s="87"/>
      <c r="BG335" s="87"/>
      <c r="BH335" s="87"/>
      <c r="BI335" s="87"/>
      <c r="BJ335" s="87"/>
      <c r="BK335" s="87"/>
      <c r="BL335" s="87"/>
      <c r="BM335" s="87"/>
      <c r="BN335" s="87"/>
      <c r="BO335" s="87"/>
      <c r="BP335" s="87"/>
      <c r="BQ335" s="87"/>
      <c r="BR335" s="87"/>
      <c r="BS335" s="87"/>
      <c r="BT335" s="87"/>
      <c r="BU335" s="87"/>
      <c r="BV335" s="87"/>
      <c r="BW335" s="87"/>
      <c r="BX335" s="87"/>
      <c r="BY335" s="87"/>
    </row>
    <row r="336" spans="1:77" ht="15">
      <c r="A336" s="87"/>
      <c r="B336" s="87"/>
      <c r="C336" s="87"/>
      <c r="D336" s="87"/>
      <c r="E336" s="127"/>
      <c r="F336" s="127"/>
      <c r="G336" s="127"/>
      <c r="H336" s="127"/>
      <c r="I336" s="12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87"/>
      <c r="BA336" s="87"/>
      <c r="BB336" s="87"/>
      <c r="BC336" s="87"/>
      <c r="BD336" s="87"/>
      <c r="BE336" s="87"/>
      <c r="BF336" s="87"/>
      <c r="BG336" s="87"/>
      <c r="BH336" s="87"/>
      <c r="BI336" s="87"/>
      <c r="BJ336" s="87"/>
      <c r="BK336" s="87"/>
      <c r="BL336" s="87"/>
      <c r="BM336" s="87"/>
      <c r="BN336" s="87"/>
      <c r="BO336" s="87"/>
      <c r="BP336" s="87"/>
      <c r="BQ336" s="87"/>
      <c r="BR336" s="87"/>
      <c r="BS336" s="87"/>
      <c r="BT336" s="87"/>
      <c r="BU336" s="87"/>
      <c r="BV336" s="87"/>
      <c r="BW336" s="87"/>
      <c r="BX336" s="87"/>
      <c r="BY336" s="87"/>
    </row>
    <row r="337" spans="1:77" ht="15">
      <c r="A337" s="87"/>
      <c r="B337" s="87"/>
      <c r="C337" s="87"/>
      <c r="D337" s="87"/>
      <c r="E337" s="127"/>
      <c r="F337" s="127"/>
      <c r="G337" s="127"/>
      <c r="H337" s="127"/>
      <c r="I337" s="12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  <c r="BE337" s="87"/>
      <c r="BF337" s="87"/>
      <c r="BG337" s="87"/>
      <c r="BH337" s="87"/>
      <c r="BI337" s="87"/>
      <c r="BJ337" s="87"/>
      <c r="BK337" s="87"/>
      <c r="BL337" s="87"/>
      <c r="BM337" s="87"/>
      <c r="BN337" s="87"/>
      <c r="BO337" s="87"/>
      <c r="BP337" s="87"/>
      <c r="BQ337" s="87"/>
      <c r="BR337" s="87"/>
      <c r="BS337" s="87"/>
      <c r="BT337" s="87"/>
      <c r="BU337" s="87"/>
      <c r="BV337" s="87"/>
      <c r="BW337" s="87"/>
      <c r="BX337" s="87"/>
      <c r="BY337" s="87"/>
    </row>
    <row r="338" spans="1:77" ht="15">
      <c r="A338" s="87"/>
      <c r="B338" s="87"/>
      <c r="C338" s="87"/>
      <c r="D338" s="87"/>
      <c r="E338" s="127"/>
      <c r="F338" s="127"/>
      <c r="G338" s="127"/>
      <c r="H338" s="127"/>
      <c r="I338" s="12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  <c r="BE338" s="87"/>
      <c r="BF338" s="87"/>
      <c r="BG338" s="87"/>
      <c r="BH338" s="87"/>
      <c r="BI338" s="87"/>
      <c r="BJ338" s="87"/>
      <c r="BK338" s="87"/>
      <c r="BL338" s="87"/>
      <c r="BM338" s="87"/>
      <c r="BN338" s="87"/>
      <c r="BO338" s="87"/>
      <c r="BP338" s="87"/>
      <c r="BQ338" s="87"/>
      <c r="BR338" s="87"/>
      <c r="BS338" s="87"/>
      <c r="BT338" s="87"/>
      <c r="BU338" s="87"/>
      <c r="BV338" s="87"/>
      <c r="BW338" s="87"/>
      <c r="BX338" s="87"/>
      <c r="BY338" s="87"/>
    </row>
    <row r="339" spans="1:77" ht="15">
      <c r="A339" s="87"/>
      <c r="B339" s="87"/>
      <c r="C339" s="87"/>
      <c r="D339" s="87"/>
      <c r="E339" s="127"/>
      <c r="F339" s="127"/>
      <c r="G339" s="127"/>
      <c r="H339" s="127"/>
      <c r="I339" s="12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7"/>
      <c r="AX339" s="87"/>
      <c r="AY339" s="87"/>
      <c r="AZ339" s="87"/>
      <c r="BA339" s="87"/>
      <c r="BB339" s="87"/>
      <c r="BC339" s="87"/>
      <c r="BD339" s="87"/>
      <c r="BE339" s="87"/>
      <c r="BF339" s="87"/>
      <c r="BG339" s="87"/>
      <c r="BH339" s="87"/>
      <c r="BI339" s="87"/>
      <c r="BJ339" s="87"/>
      <c r="BK339" s="87"/>
      <c r="BL339" s="87"/>
      <c r="BM339" s="87"/>
      <c r="BN339" s="87"/>
      <c r="BO339" s="87"/>
      <c r="BP339" s="87"/>
      <c r="BQ339" s="87"/>
      <c r="BR339" s="87"/>
      <c r="BS339" s="87"/>
      <c r="BT339" s="87"/>
      <c r="BU339" s="87"/>
      <c r="BV339" s="87"/>
      <c r="BW339" s="87"/>
      <c r="BX339" s="87"/>
      <c r="BY339" s="87"/>
    </row>
    <row r="340" spans="1:77" ht="15">
      <c r="A340" s="87"/>
      <c r="B340" s="87"/>
      <c r="C340" s="87"/>
      <c r="D340" s="87"/>
      <c r="E340" s="127"/>
      <c r="F340" s="127"/>
      <c r="G340" s="127"/>
      <c r="H340" s="127"/>
      <c r="I340" s="12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  <c r="BE340" s="87"/>
      <c r="BF340" s="87"/>
      <c r="BG340" s="87"/>
      <c r="BH340" s="87"/>
      <c r="BI340" s="87"/>
      <c r="BJ340" s="87"/>
      <c r="BK340" s="87"/>
      <c r="BL340" s="87"/>
      <c r="BM340" s="87"/>
      <c r="BN340" s="87"/>
      <c r="BO340" s="87"/>
      <c r="BP340" s="87"/>
      <c r="BQ340" s="87"/>
      <c r="BR340" s="87"/>
      <c r="BS340" s="87"/>
      <c r="BT340" s="87"/>
      <c r="BU340" s="87"/>
      <c r="BV340" s="87"/>
      <c r="BW340" s="87"/>
      <c r="BX340" s="87"/>
      <c r="BY340" s="87"/>
    </row>
    <row r="341" spans="1:77" ht="15">
      <c r="A341" s="87"/>
      <c r="B341" s="87"/>
      <c r="C341" s="87"/>
      <c r="D341" s="87"/>
      <c r="E341" s="127"/>
      <c r="F341" s="127"/>
      <c r="G341" s="127"/>
      <c r="H341" s="127"/>
      <c r="I341" s="12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7"/>
      <c r="AX341" s="87"/>
      <c r="AY341" s="87"/>
      <c r="AZ341" s="87"/>
      <c r="BA341" s="87"/>
      <c r="BB341" s="87"/>
      <c r="BC341" s="87"/>
      <c r="BD341" s="87"/>
      <c r="BE341" s="87"/>
      <c r="BF341" s="87"/>
      <c r="BG341" s="87"/>
      <c r="BH341" s="87"/>
      <c r="BI341" s="87"/>
      <c r="BJ341" s="87"/>
      <c r="BK341" s="87"/>
      <c r="BL341" s="87"/>
      <c r="BM341" s="87"/>
      <c r="BN341" s="87"/>
      <c r="BO341" s="87"/>
      <c r="BP341" s="87"/>
      <c r="BQ341" s="87"/>
      <c r="BR341" s="87"/>
      <c r="BS341" s="87"/>
      <c r="BT341" s="87"/>
      <c r="BU341" s="87"/>
      <c r="BV341" s="87"/>
      <c r="BW341" s="87"/>
      <c r="BX341" s="87"/>
      <c r="BY341" s="87"/>
    </row>
    <row r="342" spans="1:77" ht="15">
      <c r="A342" s="87"/>
      <c r="B342" s="87"/>
      <c r="C342" s="87"/>
      <c r="D342" s="87"/>
      <c r="E342" s="127"/>
      <c r="F342" s="127"/>
      <c r="G342" s="127"/>
      <c r="H342" s="127"/>
      <c r="I342" s="12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  <c r="BE342" s="87"/>
      <c r="BF342" s="87"/>
      <c r="BG342" s="87"/>
      <c r="BH342" s="87"/>
      <c r="BI342" s="87"/>
      <c r="BJ342" s="87"/>
      <c r="BK342" s="87"/>
      <c r="BL342" s="87"/>
      <c r="BM342" s="87"/>
      <c r="BN342" s="87"/>
      <c r="BO342" s="87"/>
      <c r="BP342" s="87"/>
      <c r="BQ342" s="87"/>
      <c r="BR342" s="87"/>
      <c r="BS342" s="87"/>
      <c r="BT342" s="87"/>
      <c r="BU342" s="87"/>
      <c r="BV342" s="87"/>
      <c r="BW342" s="87"/>
      <c r="BX342" s="87"/>
      <c r="BY342" s="87"/>
    </row>
    <row r="343" spans="1:77" ht="15">
      <c r="A343" s="87"/>
      <c r="B343" s="87"/>
      <c r="C343" s="87"/>
      <c r="D343" s="87"/>
      <c r="E343" s="127"/>
      <c r="F343" s="127"/>
      <c r="G343" s="127"/>
      <c r="H343" s="127"/>
      <c r="I343" s="12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7"/>
      <c r="AX343" s="87"/>
      <c r="AY343" s="87"/>
      <c r="AZ343" s="87"/>
      <c r="BA343" s="87"/>
      <c r="BB343" s="87"/>
      <c r="BC343" s="87"/>
      <c r="BD343" s="87"/>
      <c r="BE343" s="87"/>
      <c r="BF343" s="87"/>
      <c r="BG343" s="87"/>
      <c r="BH343" s="87"/>
      <c r="BI343" s="87"/>
      <c r="BJ343" s="87"/>
      <c r="BK343" s="87"/>
      <c r="BL343" s="87"/>
      <c r="BM343" s="87"/>
      <c r="BN343" s="87"/>
      <c r="BO343" s="87"/>
      <c r="BP343" s="87"/>
      <c r="BQ343" s="87"/>
      <c r="BR343" s="87"/>
      <c r="BS343" s="87"/>
      <c r="BT343" s="87"/>
      <c r="BU343" s="87"/>
      <c r="BV343" s="87"/>
      <c r="BW343" s="87"/>
      <c r="BX343" s="87"/>
      <c r="BY343" s="87"/>
    </row>
    <row r="344" spans="1:77" ht="15">
      <c r="A344" s="87"/>
      <c r="B344" s="87"/>
      <c r="C344" s="87"/>
      <c r="D344" s="87"/>
      <c r="E344" s="127"/>
      <c r="F344" s="127"/>
      <c r="G344" s="127"/>
      <c r="H344" s="127"/>
      <c r="I344" s="12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7"/>
      <c r="AX344" s="87"/>
      <c r="AY344" s="87"/>
      <c r="AZ344" s="87"/>
      <c r="BA344" s="87"/>
      <c r="BB344" s="87"/>
      <c r="BC344" s="87"/>
      <c r="BD344" s="87"/>
      <c r="BE344" s="87"/>
      <c r="BF344" s="87"/>
      <c r="BG344" s="87"/>
      <c r="BH344" s="87"/>
      <c r="BI344" s="87"/>
      <c r="BJ344" s="87"/>
      <c r="BK344" s="87"/>
      <c r="BL344" s="87"/>
      <c r="BM344" s="87"/>
      <c r="BN344" s="87"/>
      <c r="BO344" s="87"/>
      <c r="BP344" s="87"/>
      <c r="BQ344" s="87"/>
      <c r="BR344" s="87"/>
      <c r="BS344" s="87"/>
      <c r="BT344" s="87"/>
      <c r="BU344" s="87"/>
      <c r="BV344" s="87"/>
      <c r="BW344" s="87"/>
      <c r="BX344" s="87"/>
      <c r="BY344" s="87"/>
    </row>
    <row r="345" spans="1:77" ht="15">
      <c r="A345" s="87"/>
      <c r="B345" s="87"/>
      <c r="C345" s="87"/>
      <c r="D345" s="87"/>
      <c r="E345" s="127"/>
      <c r="F345" s="127"/>
      <c r="G345" s="127"/>
      <c r="H345" s="127"/>
      <c r="I345" s="12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/>
      <c r="BJ345" s="87"/>
      <c r="BK345" s="87"/>
      <c r="BL345" s="87"/>
      <c r="BM345" s="87"/>
      <c r="BN345" s="87"/>
      <c r="BO345" s="87"/>
      <c r="BP345" s="87"/>
      <c r="BQ345" s="87"/>
      <c r="BR345" s="87"/>
      <c r="BS345" s="87"/>
      <c r="BT345" s="87"/>
      <c r="BU345" s="87"/>
      <c r="BV345" s="87"/>
      <c r="BW345" s="87"/>
      <c r="BX345" s="87"/>
      <c r="BY345" s="87"/>
    </row>
    <row r="346" spans="1:77" ht="15">
      <c r="A346" s="87"/>
      <c r="B346" s="87"/>
      <c r="C346" s="87"/>
      <c r="D346" s="87"/>
      <c r="E346" s="127"/>
      <c r="F346" s="127"/>
      <c r="G346" s="127"/>
      <c r="H346" s="127"/>
      <c r="I346" s="12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  <c r="BG346" s="87"/>
      <c r="BH346" s="87"/>
      <c r="BI346" s="87"/>
      <c r="BJ346" s="87"/>
      <c r="BK346" s="87"/>
      <c r="BL346" s="87"/>
      <c r="BM346" s="87"/>
      <c r="BN346" s="87"/>
      <c r="BO346" s="87"/>
      <c r="BP346" s="87"/>
      <c r="BQ346" s="87"/>
      <c r="BR346" s="87"/>
      <c r="BS346" s="87"/>
      <c r="BT346" s="87"/>
      <c r="BU346" s="87"/>
      <c r="BV346" s="87"/>
      <c r="BW346" s="87"/>
      <c r="BX346" s="87"/>
      <c r="BY346" s="87"/>
    </row>
    <row r="347" spans="1:77" ht="15">
      <c r="A347" s="87"/>
      <c r="B347" s="87"/>
      <c r="C347" s="87"/>
      <c r="D347" s="87"/>
      <c r="E347" s="127"/>
      <c r="F347" s="127"/>
      <c r="G347" s="127"/>
      <c r="H347" s="127"/>
      <c r="I347" s="12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  <c r="BG347" s="87"/>
      <c r="BH347" s="87"/>
      <c r="BI347" s="87"/>
      <c r="BJ347" s="87"/>
      <c r="BK347" s="87"/>
      <c r="BL347" s="87"/>
      <c r="BM347" s="87"/>
      <c r="BN347" s="87"/>
      <c r="BO347" s="87"/>
      <c r="BP347" s="87"/>
      <c r="BQ347" s="87"/>
      <c r="BR347" s="87"/>
      <c r="BS347" s="87"/>
      <c r="BT347" s="87"/>
      <c r="BU347" s="87"/>
      <c r="BV347" s="87"/>
      <c r="BW347" s="87"/>
      <c r="BX347" s="87"/>
      <c r="BY347" s="87"/>
    </row>
    <row r="348" spans="1:77" ht="15">
      <c r="A348" s="87"/>
      <c r="B348" s="87"/>
      <c r="C348" s="87"/>
      <c r="D348" s="87"/>
      <c r="E348" s="127"/>
      <c r="F348" s="127"/>
      <c r="G348" s="127"/>
      <c r="H348" s="127"/>
      <c r="I348" s="12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  <c r="BE348" s="87"/>
      <c r="BF348" s="87"/>
      <c r="BG348" s="87"/>
      <c r="BH348" s="87"/>
      <c r="BI348" s="87"/>
      <c r="BJ348" s="87"/>
      <c r="BK348" s="87"/>
      <c r="BL348" s="87"/>
      <c r="BM348" s="87"/>
      <c r="BN348" s="87"/>
      <c r="BO348" s="87"/>
      <c r="BP348" s="87"/>
      <c r="BQ348" s="87"/>
      <c r="BR348" s="87"/>
      <c r="BS348" s="87"/>
      <c r="BT348" s="87"/>
      <c r="BU348" s="87"/>
      <c r="BV348" s="87"/>
      <c r="BW348" s="87"/>
      <c r="BX348" s="87"/>
      <c r="BY348" s="87"/>
    </row>
    <row r="349" spans="1:77" ht="15">
      <c r="A349" s="87"/>
      <c r="B349" s="87"/>
      <c r="C349" s="87"/>
      <c r="D349" s="87"/>
      <c r="E349" s="127"/>
      <c r="F349" s="127"/>
      <c r="G349" s="127"/>
      <c r="H349" s="127"/>
      <c r="I349" s="12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87"/>
      <c r="BD349" s="87"/>
      <c r="BE349" s="87"/>
      <c r="BF349" s="87"/>
      <c r="BG349" s="87"/>
      <c r="BH349" s="87"/>
      <c r="BI349" s="87"/>
      <c r="BJ349" s="87"/>
      <c r="BK349" s="87"/>
      <c r="BL349" s="87"/>
      <c r="BM349" s="87"/>
      <c r="BN349" s="87"/>
      <c r="BO349" s="87"/>
      <c r="BP349" s="87"/>
      <c r="BQ349" s="87"/>
      <c r="BR349" s="87"/>
      <c r="BS349" s="87"/>
      <c r="BT349" s="87"/>
      <c r="BU349" s="87"/>
      <c r="BV349" s="87"/>
      <c r="BW349" s="87"/>
      <c r="BX349" s="87"/>
      <c r="BY349" s="87"/>
    </row>
    <row r="350" spans="1:77" ht="15">
      <c r="A350" s="87"/>
      <c r="B350" s="87"/>
      <c r="C350" s="87"/>
      <c r="D350" s="87"/>
      <c r="E350" s="127"/>
      <c r="F350" s="127"/>
      <c r="G350" s="127"/>
      <c r="H350" s="127"/>
      <c r="I350" s="12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87"/>
      <c r="BD350" s="87"/>
      <c r="BE350" s="87"/>
      <c r="BF350" s="87"/>
      <c r="BG350" s="87"/>
      <c r="BH350" s="87"/>
      <c r="BI350" s="87"/>
      <c r="BJ350" s="87"/>
      <c r="BK350" s="87"/>
      <c r="BL350" s="87"/>
      <c r="BM350" s="87"/>
      <c r="BN350" s="87"/>
      <c r="BO350" s="87"/>
      <c r="BP350" s="87"/>
      <c r="BQ350" s="87"/>
      <c r="BR350" s="87"/>
      <c r="BS350" s="87"/>
      <c r="BT350" s="87"/>
      <c r="BU350" s="87"/>
      <c r="BV350" s="87"/>
      <c r="BW350" s="87"/>
      <c r="BX350" s="87"/>
      <c r="BY350" s="87"/>
    </row>
    <row r="351" spans="1:77" ht="15">
      <c r="A351" s="87"/>
      <c r="B351" s="87"/>
      <c r="C351" s="87"/>
      <c r="D351" s="87"/>
      <c r="E351" s="127"/>
      <c r="F351" s="127"/>
      <c r="G351" s="127"/>
      <c r="H351" s="127"/>
      <c r="I351" s="12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  <c r="BE351" s="87"/>
      <c r="BF351" s="87"/>
      <c r="BG351" s="87"/>
      <c r="BH351" s="87"/>
      <c r="BI351" s="87"/>
      <c r="BJ351" s="87"/>
      <c r="BK351" s="87"/>
      <c r="BL351" s="87"/>
      <c r="BM351" s="87"/>
      <c r="BN351" s="87"/>
      <c r="BO351" s="87"/>
      <c r="BP351" s="87"/>
      <c r="BQ351" s="87"/>
      <c r="BR351" s="87"/>
      <c r="BS351" s="87"/>
      <c r="BT351" s="87"/>
      <c r="BU351" s="87"/>
      <c r="BV351" s="87"/>
      <c r="BW351" s="87"/>
      <c r="BX351" s="87"/>
      <c r="BY351" s="87"/>
    </row>
    <row r="352" spans="1:77" ht="15">
      <c r="A352" s="87"/>
      <c r="B352" s="87"/>
      <c r="C352" s="87"/>
      <c r="D352" s="87"/>
      <c r="E352" s="127"/>
      <c r="F352" s="127"/>
      <c r="G352" s="127"/>
      <c r="H352" s="127"/>
      <c r="I352" s="12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87"/>
      <c r="BR352" s="87"/>
      <c r="BS352" s="87"/>
      <c r="BT352" s="87"/>
      <c r="BU352" s="87"/>
      <c r="BV352" s="87"/>
      <c r="BW352" s="87"/>
      <c r="BX352" s="87"/>
      <c r="BY352" s="87"/>
    </row>
    <row r="353" spans="1:77" ht="15">
      <c r="A353" s="87"/>
      <c r="B353" s="87"/>
      <c r="C353" s="87"/>
      <c r="D353" s="87"/>
      <c r="E353" s="127"/>
      <c r="F353" s="127"/>
      <c r="G353" s="127"/>
      <c r="H353" s="127"/>
      <c r="I353" s="12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  <c r="BE353" s="87"/>
      <c r="BF353" s="87"/>
      <c r="BG353" s="87"/>
      <c r="BH353" s="87"/>
      <c r="BI353" s="87"/>
      <c r="BJ353" s="87"/>
      <c r="BK353" s="87"/>
      <c r="BL353" s="87"/>
      <c r="BM353" s="87"/>
      <c r="BN353" s="87"/>
      <c r="BO353" s="87"/>
      <c r="BP353" s="87"/>
      <c r="BQ353" s="87"/>
      <c r="BR353" s="87"/>
      <c r="BS353" s="87"/>
      <c r="BT353" s="87"/>
      <c r="BU353" s="87"/>
      <c r="BV353" s="87"/>
      <c r="BW353" s="87"/>
      <c r="BX353" s="87"/>
      <c r="BY353" s="87"/>
    </row>
    <row r="354" spans="1:77" ht="15">
      <c r="A354" s="87"/>
      <c r="B354" s="87"/>
      <c r="C354" s="87"/>
      <c r="D354" s="87"/>
      <c r="E354" s="127"/>
      <c r="F354" s="127"/>
      <c r="G354" s="127"/>
      <c r="H354" s="127"/>
      <c r="I354" s="12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7"/>
      <c r="BJ354" s="87"/>
      <c r="BK354" s="87"/>
      <c r="BL354" s="87"/>
      <c r="BM354" s="87"/>
      <c r="BN354" s="87"/>
      <c r="BO354" s="87"/>
      <c r="BP354" s="87"/>
      <c r="BQ354" s="87"/>
      <c r="BR354" s="87"/>
      <c r="BS354" s="87"/>
      <c r="BT354" s="87"/>
      <c r="BU354" s="87"/>
      <c r="BV354" s="87"/>
      <c r="BW354" s="87"/>
      <c r="BX354" s="87"/>
      <c r="BY354" s="87"/>
    </row>
    <row r="355" spans="1:77" ht="15">
      <c r="A355" s="87"/>
      <c r="B355" s="87"/>
      <c r="C355" s="87"/>
      <c r="D355" s="87"/>
      <c r="E355" s="127"/>
      <c r="F355" s="127"/>
      <c r="G355" s="127"/>
      <c r="H355" s="127"/>
      <c r="I355" s="12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  <c r="BG355" s="87"/>
      <c r="BH355" s="87"/>
      <c r="BI355" s="87"/>
      <c r="BJ355" s="87"/>
      <c r="BK355" s="87"/>
      <c r="BL355" s="87"/>
      <c r="BM355" s="87"/>
      <c r="BN355" s="87"/>
      <c r="BO355" s="87"/>
      <c r="BP355" s="87"/>
      <c r="BQ355" s="87"/>
      <c r="BR355" s="87"/>
      <c r="BS355" s="87"/>
      <c r="BT355" s="87"/>
      <c r="BU355" s="87"/>
      <c r="BV355" s="87"/>
      <c r="BW355" s="87"/>
      <c r="BX355" s="87"/>
      <c r="BY355" s="87"/>
    </row>
    <row r="356" spans="1:77" ht="15">
      <c r="A356" s="87"/>
      <c r="B356" s="87"/>
      <c r="C356" s="87"/>
      <c r="D356" s="87"/>
      <c r="E356" s="127"/>
      <c r="F356" s="127"/>
      <c r="G356" s="127"/>
      <c r="H356" s="127"/>
      <c r="I356" s="12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7"/>
      <c r="BL356" s="87"/>
      <c r="BM356" s="87"/>
      <c r="BN356" s="87"/>
      <c r="BO356" s="87"/>
      <c r="BP356" s="87"/>
      <c r="BQ356" s="87"/>
      <c r="BR356" s="87"/>
      <c r="BS356" s="87"/>
      <c r="BT356" s="87"/>
      <c r="BU356" s="87"/>
      <c r="BV356" s="87"/>
      <c r="BW356" s="87"/>
      <c r="BX356" s="87"/>
      <c r="BY356" s="87"/>
    </row>
    <row r="357" spans="1:77" ht="15">
      <c r="A357" s="87"/>
      <c r="B357" s="87"/>
      <c r="C357" s="87"/>
      <c r="D357" s="87"/>
      <c r="E357" s="127"/>
      <c r="F357" s="127"/>
      <c r="G357" s="127"/>
      <c r="H357" s="127"/>
      <c r="I357" s="12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  <c r="BE357" s="87"/>
      <c r="BF357" s="87"/>
      <c r="BG357" s="87"/>
      <c r="BH357" s="87"/>
      <c r="BI357" s="87"/>
      <c r="BJ357" s="87"/>
      <c r="BK357" s="87"/>
      <c r="BL357" s="87"/>
      <c r="BM357" s="87"/>
      <c r="BN357" s="87"/>
      <c r="BO357" s="87"/>
      <c r="BP357" s="87"/>
      <c r="BQ357" s="87"/>
      <c r="BR357" s="87"/>
      <c r="BS357" s="87"/>
      <c r="BT357" s="87"/>
      <c r="BU357" s="87"/>
      <c r="BV357" s="87"/>
      <c r="BW357" s="87"/>
      <c r="BX357" s="87"/>
      <c r="BY357" s="87"/>
    </row>
    <row r="358" spans="1:77" ht="15">
      <c r="A358" s="87"/>
      <c r="B358" s="87"/>
      <c r="C358" s="87"/>
      <c r="D358" s="87"/>
      <c r="E358" s="127"/>
      <c r="F358" s="127"/>
      <c r="G358" s="127"/>
      <c r="H358" s="127"/>
      <c r="I358" s="12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  <c r="BG358" s="87"/>
      <c r="BH358" s="87"/>
      <c r="BI358" s="87"/>
      <c r="BJ358" s="87"/>
      <c r="BK358" s="87"/>
      <c r="BL358" s="87"/>
      <c r="BM358" s="87"/>
      <c r="BN358" s="87"/>
      <c r="BO358" s="87"/>
      <c r="BP358" s="87"/>
      <c r="BQ358" s="87"/>
      <c r="BR358" s="87"/>
      <c r="BS358" s="87"/>
      <c r="BT358" s="87"/>
      <c r="BU358" s="87"/>
      <c r="BV358" s="87"/>
      <c r="BW358" s="87"/>
      <c r="BX358" s="87"/>
      <c r="BY358" s="87"/>
    </row>
    <row r="359" spans="1:77" ht="15">
      <c r="A359" s="87"/>
      <c r="B359" s="87"/>
      <c r="C359" s="87"/>
      <c r="D359" s="87"/>
      <c r="E359" s="127"/>
      <c r="F359" s="127"/>
      <c r="G359" s="127"/>
      <c r="H359" s="127"/>
      <c r="I359" s="12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  <c r="BE359" s="87"/>
      <c r="BF359" s="87"/>
      <c r="BG359" s="87"/>
      <c r="BH359" s="87"/>
      <c r="BI359" s="87"/>
      <c r="BJ359" s="87"/>
      <c r="BK359" s="87"/>
      <c r="BL359" s="87"/>
      <c r="BM359" s="87"/>
      <c r="BN359" s="87"/>
      <c r="BO359" s="87"/>
      <c r="BP359" s="87"/>
      <c r="BQ359" s="87"/>
      <c r="BR359" s="87"/>
      <c r="BS359" s="87"/>
      <c r="BT359" s="87"/>
      <c r="BU359" s="87"/>
      <c r="BV359" s="87"/>
      <c r="BW359" s="87"/>
      <c r="BX359" s="87"/>
      <c r="BY359" s="87"/>
    </row>
    <row r="360" spans="1:77" ht="15">
      <c r="A360" s="87"/>
      <c r="B360" s="87"/>
      <c r="C360" s="87"/>
      <c r="D360" s="87"/>
      <c r="E360" s="127"/>
      <c r="F360" s="127"/>
      <c r="G360" s="127"/>
      <c r="H360" s="127"/>
      <c r="I360" s="12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  <c r="BE360" s="87"/>
      <c r="BF360" s="87"/>
      <c r="BG360" s="87"/>
      <c r="BH360" s="87"/>
      <c r="BI360" s="87"/>
      <c r="BJ360" s="87"/>
      <c r="BK360" s="87"/>
      <c r="BL360" s="87"/>
      <c r="BM360" s="87"/>
      <c r="BN360" s="87"/>
      <c r="BO360" s="87"/>
      <c r="BP360" s="87"/>
      <c r="BQ360" s="87"/>
      <c r="BR360" s="87"/>
      <c r="BS360" s="87"/>
      <c r="BT360" s="87"/>
      <c r="BU360" s="87"/>
      <c r="BV360" s="87"/>
      <c r="BW360" s="87"/>
      <c r="BX360" s="87"/>
      <c r="BY360" s="87"/>
    </row>
    <row r="361" spans="1:77" ht="15">
      <c r="A361" s="87"/>
      <c r="B361" s="87"/>
      <c r="C361" s="87"/>
      <c r="D361" s="87"/>
      <c r="E361" s="127"/>
      <c r="F361" s="127"/>
      <c r="G361" s="127"/>
      <c r="H361" s="127"/>
      <c r="I361" s="12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S361" s="87"/>
      <c r="BT361" s="87"/>
      <c r="BU361" s="87"/>
      <c r="BV361" s="87"/>
      <c r="BW361" s="87"/>
      <c r="BX361" s="87"/>
      <c r="BY361" s="87"/>
    </row>
    <row r="362" spans="1:77" ht="15">
      <c r="A362" s="87"/>
      <c r="B362" s="87"/>
      <c r="C362" s="87"/>
      <c r="D362" s="87"/>
      <c r="E362" s="127"/>
      <c r="F362" s="127"/>
      <c r="G362" s="127"/>
      <c r="H362" s="127"/>
      <c r="I362" s="12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S362" s="87"/>
      <c r="BT362" s="87"/>
      <c r="BU362" s="87"/>
      <c r="BV362" s="87"/>
      <c r="BW362" s="87"/>
      <c r="BX362" s="87"/>
      <c r="BY362" s="87"/>
    </row>
    <row r="363" spans="1:77" ht="15">
      <c r="A363" s="87"/>
      <c r="B363" s="87"/>
      <c r="C363" s="87"/>
      <c r="D363" s="87"/>
      <c r="E363" s="127"/>
      <c r="F363" s="127"/>
      <c r="G363" s="127"/>
      <c r="H363" s="127"/>
      <c r="I363" s="12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S363" s="87"/>
      <c r="BT363" s="87"/>
      <c r="BU363" s="87"/>
      <c r="BV363" s="87"/>
      <c r="BW363" s="87"/>
      <c r="BX363" s="87"/>
      <c r="BY363" s="87"/>
    </row>
    <row r="364" spans="1:77" ht="15">
      <c r="A364" s="87"/>
      <c r="B364" s="87"/>
      <c r="C364" s="87"/>
      <c r="D364" s="87"/>
      <c r="E364" s="127"/>
      <c r="F364" s="127"/>
      <c r="G364" s="127"/>
      <c r="H364" s="127"/>
      <c r="I364" s="12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  <c r="BE364" s="87"/>
      <c r="BF364" s="87"/>
      <c r="BG364" s="87"/>
      <c r="BH364" s="87"/>
      <c r="BI364" s="87"/>
      <c r="BJ364" s="87"/>
      <c r="BK364" s="87"/>
      <c r="BL364" s="87"/>
      <c r="BM364" s="87"/>
      <c r="BN364" s="87"/>
      <c r="BO364" s="87"/>
      <c r="BP364" s="87"/>
      <c r="BQ364" s="87"/>
      <c r="BR364" s="87"/>
      <c r="BS364" s="87"/>
      <c r="BT364" s="87"/>
      <c r="BU364" s="87"/>
      <c r="BV364" s="87"/>
      <c r="BW364" s="87"/>
      <c r="BX364" s="87"/>
      <c r="BY364" s="87"/>
    </row>
    <row r="365" spans="1:77" ht="15">
      <c r="A365" s="87"/>
      <c r="B365" s="87"/>
      <c r="C365" s="87"/>
      <c r="D365" s="87"/>
      <c r="E365" s="127"/>
      <c r="F365" s="127"/>
      <c r="G365" s="127"/>
      <c r="H365" s="127"/>
      <c r="I365" s="12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  <c r="BE365" s="87"/>
      <c r="BF365" s="87"/>
      <c r="BG365" s="87"/>
      <c r="BH365" s="87"/>
      <c r="BI365" s="87"/>
      <c r="BJ365" s="87"/>
      <c r="BK365" s="87"/>
      <c r="BL365" s="87"/>
      <c r="BM365" s="87"/>
      <c r="BN365" s="87"/>
      <c r="BO365" s="87"/>
      <c r="BP365" s="87"/>
      <c r="BQ365" s="87"/>
      <c r="BR365" s="87"/>
      <c r="BS365" s="87"/>
      <c r="BT365" s="87"/>
      <c r="BU365" s="87"/>
      <c r="BV365" s="87"/>
      <c r="BW365" s="87"/>
      <c r="BX365" s="87"/>
      <c r="BY365" s="87"/>
    </row>
    <row r="366" spans="1:77" ht="15">
      <c r="A366" s="87"/>
      <c r="B366" s="87"/>
      <c r="C366" s="87"/>
      <c r="D366" s="87"/>
      <c r="E366" s="127"/>
      <c r="F366" s="127"/>
      <c r="G366" s="127"/>
      <c r="H366" s="127"/>
      <c r="I366" s="12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  <c r="BE366" s="87"/>
      <c r="BF366" s="87"/>
      <c r="BG366" s="87"/>
      <c r="BH366" s="87"/>
      <c r="BI366" s="87"/>
      <c r="BJ366" s="87"/>
      <c r="BK366" s="87"/>
      <c r="BL366" s="87"/>
      <c r="BM366" s="87"/>
      <c r="BN366" s="87"/>
      <c r="BO366" s="87"/>
      <c r="BP366" s="87"/>
      <c r="BQ366" s="87"/>
      <c r="BR366" s="87"/>
      <c r="BS366" s="87"/>
      <c r="BT366" s="87"/>
      <c r="BU366" s="87"/>
      <c r="BV366" s="87"/>
      <c r="BW366" s="87"/>
      <c r="BX366" s="87"/>
      <c r="BY366" s="87"/>
    </row>
    <row r="367" spans="1:77" ht="15">
      <c r="A367" s="87"/>
      <c r="B367" s="87"/>
      <c r="C367" s="87"/>
      <c r="D367" s="87"/>
      <c r="E367" s="127"/>
      <c r="F367" s="127"/>
      <c r="G367" s="127"/>
      <c r="H367" s="127"/>
      <c r="I367" s="12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/>
      <c r="BJ367" s="87"/>
      <c r="BK367" s="87"/>
      <c r="BL367" s="87"/>
      <c r="BM367" s="87"/>
      <c r="BN367" s="87"/>
      <c r="BO367" s="87"/>
      <c r="BP367" s="87"/>
      <c r="BQ367" s="87"/>
      <c r="BR367" s="87"/>
      <c r="BS367" s="87"/>
      <c r="BT367" s="87"/>
      <c r="BU367" s="87"/>
      <c r="BV367" s="87"/>
      <c r="BW367" s="87"/>
      <c r="BX367" s="87"/>
      <c r="BY367" s="87"/>
    </row>
    <row r="368" spans="1:77" ht="15">
      <c r="A368" s="87"/>
      <c r="B368" s="87"/>
      <c r="C368" s="87"/>
      <c r="D368" s="87"/>
      <c r="E368" s="127"/>
      <c r="F368" s="127"/>
      <c r="G368" s="127"/>
      <c r="H368" s="127"/>
      <c r="I368" s="12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87"/>
      <c r="BK368" s="87"/>
      <c r="BL368" s="87"/>
      <c r="BM368" s="87"/>
      <c r="BN368" s="87"/>
      <c r="BO368" s="87"/>
      <c r="BP368" s="87"/>
      <c r="BQ368" s="87"/>
      <c r="BR368" s="87"/>
      <c r="BS368" s="87"/>
      <c r="BT368" s="87"/>
      <c r="BU368" s="87"/>
      <c r="BV368" s="87"/>
      <c r="BW368" s="87"/>
      <c r="BX368" s="87"/>
      <c r="BY368" s="87"/>
    </row>
    <row r="369" spans="1:77" ht="15">
      <c r="A369" s="87"/>
      <c r="B369" s="87"/>
      <c r="C369" s="87"/>
      <c r="D369" s="87"/>
      <c r="E369" s="127"/>
      <c r="F369" s="127"/>
      <c r="G369" s="127"/>
      <c r="H369" s="127"/>
      <c r="I369" s="12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  <c r="BK369" s="87"/>
      <c r="BL369" s="87"/>
      <c r="BM369" s="87"/>
      <c r="BN369" s="87"/>
      <c r="BO369" s="87"/>
      <c r="BP369" s="87"/>
      <c r="BQ369" s="87"/>
      <c r="BR369" s="87"/>
      <c r="BS369" s="87"/>
      <c r="BT369" s="87"/>
      <c r="BU369" s="87"/>
      <c r="BV369" s="87"/>
      <c r="BW369" s="87"/>
      <c r="BX369" s="87"/>
      <c r="BY369" s="87"/>
    </row>
    <row r="370" spans="1:77" ht="15">
      <c r="A370" s="87"/>
      <c r="B370" s="87"/>
      <c r="C370" s="87"/>
      <c r="D370" s="87"/>
      <c r="E370" s="127"/>
      <c r="F370" s="127"/>
      <c r="G370" s="127"/>
      <c r="H370" s="127"/>
      <c r="I370" s="12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  <c r="BK370" s="87"/>
      <c r="BL370" s="87"/>
      <c r="BM370" s="87"/>
      <c r="BN370" s="87"/>
      <c r="BO370" s="87"/>
      <c r="BP370" s="87"/>
      <c r="BQ370" s="87"/>
      <c r="BR370" s="87"/>
      <c r="BS370" s="87"/>
      <c r="BT370" s="87"/>
      <c r="BU370" s="87"/>
      <c r="BV370" s="87"/>
      <c r="BW370" s="87"/>
      <c r="BX370" s="87"/>
      <c r="BY370" s="87"/>
    </row>
    <row r="371" spans="1:77" ht="15">
      <c r="A371" s="87"/>
      <c r="B371" s="87"/>
      <c r="C371" s="87"/>
      <c r="D371" s="87"/>
      <c r="E371" s="127"/>
      <c r="F371" s="127"/>
      <c r="G371" s="127"/>
      <c r="H371" s="127"/>
      <c r="I371" s="12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87"/>
      <c r="BM371" s="87"/>
      <c r="BN371" s="87"/>
      <c r="BO371" s="87"/>
      <c r="BP371" s="87"/>
      <c r="BQ371" s="87"/>
      <c r="BR371" s="87"/>
      <c r="BS371" s="87"/>
      <c r="BT371" s="87"/>
      <c r="BU371" s="87"/>
      <c r="BV371" s="87"/>
      <c r="BW371" s="87"/>
      <c r="BX371" s="87"/>
      <c r="BY371" s="87"/>
    </row>
    <row r="372" spans="1:77" ht="15">
      <c r="A372" s="87"/>
      <c r="B372" s="87"/>
      <c r="C372" s="87"/>
      <c r="D372" s="87"/>
      <c r="E372" s="127"/>
      <c r="F372" s="127"/>
      <c r="G372" s="127"/>
      <c r="H372" s="127"/>
      <c r="I372" s="12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7"/>
      <c r="BL372" s="87"/>
      <c r="BM372" s="87"/>
      <c r="BN372" s="87"/>
      <c r="BO372" s="87"/>
      <c r="BP372" s="87"/>
      <c r="BQ372" s="87"/>
      <c r="BR372" s="87"/>
      <c r="BS372" s="87"/>
      <c r="BT372" s="87"/>
      <c r="BU372" s="87"/>
      <c r="BV372" s="87"/>
      <c r="BW372" s="87"/>
      <c r="BX372" s="87"/>
      <c r="BY372" s="87"/>
    </row>
    <row r="373" spans="1:77" ht="15">
      <c r="A373" s="87"/>
      <c r="B373" s="87"/>
      <c r="C373" s="87"/>
      <c r="D373" s="87"/>
      <c r="E373" s="127"/>
      <c r="F373" s="127"/>
      <c r="G373" s="127"/>
      <c r="H373" s="127"/>
      <c r="I373" s="12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  <c r="BE373" s="87"/>
      <c r="BF373" s="87"/>
      <c r="BG373" s="87"/>
      <c r="BH373" s="87"/>
      <c r="BI373" s="87"/>
      <c r="BJ373" s="87"/>
      <c r="BK373" s="87"/>
      <c r="BL373" s="87"/>
      <c r="BM373" s="87"/>
      <c r="BN373" s="87"/>
      <c r="BO373" s="87"/>
      <c r="BP373" s="87"/>
      <c r="BQ373" s="87"/>
      <c r="BR373" s="87"/>
      <c r="BS373" s="87"/>
      <c r="BT373" s="87"/>
      <c r="BU373" s="87"/>
      <c r="BV373" s="87"/>
      <c r="BW373" s="87"/>
      <c r="BX373" s="87"/>
      <c r="BY373" s="87"/>
    </row>
    <row r="374" spans="1:77" ht="15">
      <c r="A374" s="87"/>
      <c r="B374" s="87"/>
      <c r="C374" s="87"/>
      <c r="D374" s="87"/>
      <c r="E374" s="127"/>
      <c r="F374" s="127"/>
      <c r="G374" s="127"/>
      <c r="H374" s="127"/>
      <c r="I374" s="12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  <c r="BG374" s="87"/>
      <c r="BH374" s="87"/>
      <c r="BI374" s="87"/>
      <c r="BJ374" s="87"/>
      <c r="BK374" s="87"/>
      <c r="BL374" s="87"/>
      <c r="BM374" s="87"/>
      <c r="BN374" s="87"/>
      <c r="BO374" s="87"/>
      <c r="BP374" s="87"/>
      <c r="BQ374" s="87"/>
      <c r="BR374" s="87"/>
      <c r="BS374" s="87"/>
      <c r="BT374" s="87"/>
      <c r="BU374" s="87"/>
      <c r="BV374" s="87"/>
      <c r="BW374" s="87"/>
      <c r="BX374" s="87"/>
      <c r="BY374" s="87"/>
    </row>
    <row r="375" spans="1:77" ht="15">
      <c r="A375" s="87"/>
      <c r="B375" s="87"/>
      <c r="C375" s="87"/>
      <c r="D375" s="87"/>
      <c r="E375" s="127"/>
      <c r="F375" s="127"/>
      <c r="G375" s="127"/>
      <c r="H375" s="127"/>
      <c r="I375" s="12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  <c r="BG375" s="87"/>
      <c r="BH375" s="87"/>
      <c r="BI375" s="87"/>
      <c r="BJ375" s="87"/>
      <c r="BK375" s="87"/>
      <c r="BL375" s="87"/>
      <c r="BM375" s="87"/>
      <c r="BN375" s="87"/>
      <c r="BO375" s="87"/>
      <c r="BP375" s="87"/>
      <c r="BQ375" s="87"/>
      <c r="BR375" s="87"/>
      <c r="BS375" s="87"/>
      <c r="BT375" s="87"/>
      <c r="BU375" s="87"/>
      <c r="BV375" s="87"/>
      <c r="BW375" s="87"/>
      <c r="BX375" s="87"/>
      <c r="BY375" s="87"/>
    </row>
    <row r="376" spans="1:77" ht="15">
      <c r="A376" s="87"/>
      <c r="B376" s="87"/>
      <c r="C376" s="87"/>
      <c r="D376" s="87"/>
      <c r="E376" s="127"/>
      <c r="F376" s="127"/>
      <c r="G376" s="127"/>
      <c r="H376" s="127"/>
      <c r="I376" s="12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87"/>
      <c r="BD376" s="87"/>
      <c r="BE376" s="87"/>
      <c r="BF376" s="87"/>
      <c r="BG376" s="87"/>
      <c r="BH376" s="87"/>
      <c r="BI376" s="87"/>
      <c r="BJ376" s="87"/>
      <c r="BK376" s="87"/>
      <c r="BL376" s="87"/>
      <c r="BM376" s="87"/>
      <c r="BN376" s="87"/>
      <c r="BO376" s="87"/>
      <c r="BP376" s="87"/>
      <c r="BQ376" s="87"/>
      <c r="BR376" s="87"/>
      <c r="BS376" s="87"/>
      <c r="BT376" s="87"/>
      <c r="BU376" s="87"/>
      <c r="BV376" s="87"/>
      <c r="BW376" s="87"/>
      <c r="BX376" s="87"/>
      <c r="BY376" s="87"/>
    </row>
    <row r="377" spans="1:77" ht="15">
      <c r="A377" s="87"/>
      <c r="B377" s="87"/>
      <c r="C377" s="87"/>
      <c r="D377" s="87"/>
      <c r="E377" s="127"/>
      <c r="F377" s="127"/>
      <c r="G377" s="127"/>
      <c r="H377" s="127"/>
      <c r="I377" s="12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87"/>
      <c r="BD377" s="87"/>
      <c r="BE377" s="87"/>
      <c r="BF377" s="87"/>
      <c r="BG377" s="87"/>
      <c r="BH377" s="87"/>
      <c r="BI377" s="87"/>
      <c r="BJ377" s="87"/>
      <c r="BK377" s="87"/>
      <c r="BL377" s="87"/>
      <c r="BM377" s="87"/>
      <c r="BN377" s="87"/>
      <c r="BO377" s="87"/>
      <c r="BP377" s="87"/>
      <c r="BQ377" s="87"/>
      <c r="BR377" s="87"/>
      <c r="BS377" s="87"/>
      <c r="BT377" s="87"/>
      <c r="BU377" s="87"/>
      <c r="BV377" s="87"/>
      <c r="BW377" s="87"/>
      <c r="BX377" s="87"/>
      <c r="BY377" s="87"/>
    </row>
    <row r="378" spans="1:77" ht="15">
      <c r="A378" s="87"/>
      <c r="B378" s="87"/>
      <c r="C378" s="87"/>
      <c r="D378" s="87"/>
      <c r="E378" s="127"/>
      <c r="F378" s="127"/>
      <c r="G378" s="127"/>
      <c r="H378" s="127"/>
      <c r="I378" s="12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87"/>
      <c r="BD378" s="87"/>
      <c r="BE378" s="87"/>
      <c r="BF378" s="87"/>
      <c r="BG378" s="87"/>
      <c r="BH378" s="87"/>
      <c r="BI378" s="87"/>
      <c r="BJ378" s="87"/>
      <c r="BK378" s="87"/>
      <c r="BL378" s="87"/>
      <c r="BM378" s="87"/>
      <c r="BN378" s="87"/>
      <c r="BO378" s="87"/>
      <c r="BP378" s="87"/>
      <c r="BQ378" s="87"/>
      <c r="BR378" s="87"/>
      <c r="BS378" s="87"/>
      <c r="BT378" s="87"/>
      <c r="BU378" s="87"/>
      <c r="BV378" s="87"/>
      <c r="BW378" s="87"/>
      <c r="BX378" s="87"/>
      <c r="BY378" s="87"/>
    </row>
    <row r="379" spans="1:77" ht="15">
      <c r="A379" s="87"/>
      <c r="B379" s="87"/>
      <c r="C379" s="87"/>
      <c r="D379" s="87"/>
      <c r="E379" s="127"/>
      <c r="F379" s="127"/>
      <c r="G379" s="127"/>
      <c r="H379" s="127"/>
      <c r="I379" s="12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  <c r="BE379" s="87"/>
      <c r="BF379" s="87"/>
      <c r="BG379" s="87"/>
      <c r="BH379" s="87"/>
      <c r="BI379" s="87"/>
      <c r="BJ379" s="87"/>
      <c r="BK379" s="87"/>
      <c r="BL379" s="87"/>
      <c r="BM379" s="87"/>
      <c r="BN379" s="87"/>
      <c r="BO379" s="87"/>
      <c r="BP379" s="87"/>
      <c r="BQ379" s="87"/>
      <c r="BR379" s="87"/>
      <c r="BS379" s="87"/>
      <c r="BT379" s="87"/>
      <c r="BU379" s="87"/>
      <c r="BV379" s="87"/>
      <c r="BW379" s="87"/>
      <c r="BX379" s="87"/>
      <c r="BY379" s="87"/>
    </row>
    <row r="380" spans="1:77" ht="15">
      <c r="A380" s="87"/>
      <c r="B380" s="87"/>
      <c r="C380" s="87"/>
      <c r="D380" s="87"/>
      <c r="E380" s="127"/>
      <c r="F380" s="127"/>
      <c r="G380" s="127"/>
      <c r="H380" s="127"/>
      <c r="I380" s="12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  <c r="BG380" s="87"/>
      <c r="BH380" s="87"/>
      <c r="BI380" s="87"/>
      <c r="BJ380" s="87"/>
      <c r="BK380" s="87"/>
      <c r="BL380" s="87"/>
      <c r="BM380" s="87"/>
      <c r="BN380" s="87"/>
      <c r="BO380" s="87"/>
      <c r="BP380" s="87"/>
      <c r="BQ380" s="87"/>
      <c r="BR380" s="87"/>
      <c r="BS380" s="87"/>
      <c r="BT380" s="87"/>
      <c r="BU380" s="87"/>
      <c r="BV380" s="87"/>
      <c r="BW380" s="87"/>
      <c r="BX380" s="87"/>
      <c r="BY380" s="87"/>
    </row>
    <row r="381" spans="1:77" ht="15">
      <c r="A381" s="87"/>
      <c r="B381" s="87"/>
      <c r="C381" s="87"/>
      <c r="D381" s="87"/>
      <c r="E381" s="127"/>
      <c r="F381" s="127"/>
      <c r="G381" s="127"/>
      <c r="H381" s="127"/>
      <c r="I381" s="12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  <c r="BG381" s="87"/>
      <c r="BH381" s="87"/>
      <c r="BI381" s="87"/>
      <c r="BJ381" s="87"/>
      <c r="BK381" s="87"/>
      <c r="BL381" s="87"/>
      <c r="BM381" s="87"/>
      <c r="BN381" s="87"/>
      <c r="BO381" s="87"/>
      <c r="BP381" s="87"/>
      <c r="BQ381" s="87"/>
      <c r="BR381" s="87"/>
      <c r="BS381" s="87"/>
      <c r="BT381" s="87"/>
      <c r="BU381" s="87"/>
      <c r="BV381" s="87"/>
      <c r="BW381" s="87"/>
      <c r="BX381" s="87"/>
      <c r="BY381" s="87"/>
    </row>
    <row r="382" spans="1:77" ht="15">
      <c r="A382" s="87"/>
      <c r="B382" s="87"/>
      <c r="C382" s="87"/>
      <c r="D382" s="87"/>
      <c r="E382" s="127"/>
      <c r="F382" s="127"/>
      <c r="G382" s="127"/>
      <c r="H382" s="127"/>
      <c r="I382" s="12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  <c r="BG382" s="87"/>
      <c r="BH382" s="87"/>
      <c r="BI382" s="87"/>
      <c r="BJ382" s="87"/>
      <c r="BK382" s="87"/>
      <c r="BL382" s="87"/>
      <c r="BM382" s="87"/>
      <c r="BN382" s="87"/>
      <c r="BO382" s="87"/>
      <c r="BP382" s="87"/>
      <c r="BQ382" s="87"/>
      <c r="BR382" s="87"/>
      <c r="BS382" s="87"/>
      <c r="BT382" s="87"/>
      <c r="BU382" s="87"/>
      <c r="BV382" s="87"/>
      <c r="BW382" s="87"/>
      <c r="BX382" s="87"/>
      <c r="BY382" s="87"/>
    </row>
    <row r="383" spans="1:77" ht="15">
      <c r="A383" s="87"/>
      <c r="B383" s="87"/>
      <c r="C383" s="87"/>
      <c r="D383" s="87"/>
      <c r="E383" s="127"/>
      <c r="F383" s="127"/>
      <c r="G383" s="127"/>
      <c r="H383" s="127"/>
      <c r="I383" s="12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87"/>
      <c r="BD383" s="87"/>
      <c r="BE383" s="87"/>
      <c r="BF383" s="87"/>
      <c r="BG383" s="87"/>
      <c r="BH383" s="87"/>
      <c r="BI383" s="87"/>
      <c r="BJ383" s="87"/>
      <c r="BK383" s="87"/>
      <c r="BL383" s="87"/>
      <c r="BM383" s="87"/>
      <c r="BN383" s="87"/>
      <c r="BO383" s="87"/>
      <c r="BP383" s="87"/>
      <c r="BQ383" s="87"/>
      <c r="BR383" s="87"/>
      <c r="BS383" s="87"/>
      <c r="BT383" s="87"/>
      <c r="BU383" s="87"/>
      <c r="BV383" s="87"/>
      <c r="BW383" s="87"/>
      <c r="BX383" s="87"/>
      <c r="BY383" s="87"/>
    </row>
    <row r="384" spans="1:77" ht="15">
      <c r="A384" s="87"/>
      <c r="B384" s="87"/>
      <c r="C384" s="87"/>
      <c r="D384" s="87"/>
      <c r="E384" s="127"/>
      <c r="F384" s="127"/>
      <c r="G384" s="127"/>
      <c r="H384" s="127"/>
      <c r="I384" s="12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7"/>
      <c r="BE384" s="87"/>
      <c r="BF384" s="87"/>
      <c r="BG384" s="87"/>
      <c r="BH384" s="87"/>
      <c r="BI384" s="87"/>
      <c r="BJ384" s="87"/>
      <c r="BK384" s="87"/>
      <c r="BL384" s="87"/>
      <c r="BM384" s="87"/>
      <c r="BN384" s="87"/>
      <c r="BO384" s="87"/>
      <c r="BP384" s="87"/>
      <c r="BQ384" s="87"/>
      <c r="BR384" s="87"/>
      <c r="BS384" s="87"/>
      <c r="BT384" s="87"/>
      <c r="BU384" s="87"/>
      <c r="BV384" s="87"/>
      <c r="BW384" s="87"/>
      <c r="BX384" s="87"/>
      <c r="BY384" s="87"/>
    </row>
    <row r="385" spans="1:77" ht="15">
      <c r="A385" s="87"/>
      <c r="B385" s="87"/>
      <c r="C385" s="87"/>
      <c r="D385" s="87"/>
      <c r="E385" s="127"/>
      <c r="F385" s="127"/>
      <c r="G385" s="127"/>
      <c r="H385" s="127"/>
      <c r="I385" s="12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  <c r="BE385" s="87"/>
      <c r="BF385" s="87"/>
      <c r="BG385" s="87"/>
      <c r="BH385" s="87"/>
      <c r="BI385" s="87"/>
      <c r="BJ385" s="87"/>
      <c r="BK385" s="87"/>
      <c r="BL385" s="87"/>
      <c r="BM385" s="87"/>
      <c r="BN385" s="87"/>
      <c r="BO385" s="87"/>
      <c r="BP385" s="87"/>
      <c r="BQ385" s="87"/>
      <c r="BR385" s="87"/>
      <c r="BS385" s="87"/>
      <c r="BT385" s="87"/>
      <c r="BU385" s="87"/>
      <c r="BV385" s="87"/>
      <c r="BW385" s="87"/>
      <c r="BX385" s="87"/>
      <c r="BY385" s="87"/>
    </row>
    <row r="386" spans="1:77" ht="15">
      <c r="A386" s="87"/>
      <c r="B386" s="87"/>
      <c r="C386" s="87"/>
      <c r="D386" s="87"/>
      <c r="E386" s="127"/>
      <c r="F386" s="127"/>
      <c r="G386" s="127"/>
      <c r="H386" s="127"/>
      <c r="I386" s="12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  <c r="BE386" s="87"/>
      <c r="BF386" s="87"/>
      <c r="BG386" s="87"/>
      <c r="BH386" s="87"/>
      <c r="BI386" s="87"/>
      <c r="BJ386" s="87"/>
      <c r="BK386" s="87"/>
      <c r="BL386" s="87"/>
      <c r="BM386" s="87"/>
      <c r="BN386" s="87"/>
      <c r="BO386" s="87"/>
      <c r="BP386" s="87"/>
      <c r="BQ386" s="87"/>
      <c r="BR386" s="87"/>
      <c r="BS386" s="87"/>
      <c r="BT386" s="87"/>
      <c r="BU386" s="87"/>
      <c r="BV386" s="87"/>
      <c r="BW386" s="87"/>
      <c r="BX386" s="87"/>
      <c r="BY386" s="87"/>
    </row>
    <row r="387" spans="1:77" ht="15">
      <c r="A387" s="87"/>
      <c r="B387" s="87"/>
      <c r="C387" s="87"/>
      <c r="D387" s="87"/>
      <c r="E387" s="127"/>
      <c r="F387" s="127"/>
      <c r="G387" s="127"/>
      <c r="H387" s="127"/>
      <c r="I387" s="12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  <c r="BE387" s="87"/>
      <c r="BF387" s="87"/>
      <c r="BG387" s="87"/>
      <c r="BH387" s="87"/>
      <c r="BI387" s="87"/>
      <c r="BJ387" s="87"/>
      <c r="BK387" s="87"/>
      <c r="BL387" s="87"/>
      <c r="BM387" s="87"/>
      <c r="BN387" s="87"/>
      <c r="BO387" s="87"/>
      <c r="BP387" s="87"/>
      <c r="BQ387" s="87"/>
      <c r="BR387" s="87"/>
      <c r="BS387" s="87"/>
      <c r="BT387" s="87"/>
      <c r="BU387" s="87"/>
      <c r="BV387" s="87"/>
      <c r="BW387" s="87"/>
      <c r="BX387" s="87"/>
      <c r="BY387" s="87"/>
    </row>
    <row r="388" spans="1:77" ht="15">
      <c r="A388" s="87"/>
      <c r="B388" s="87"/>
      <c r="C388" s="87"/>
      <c r="D388" s="87"/>
      <c r="E388" s="127"/>
      <c r="F388" s="127"/>
      <c r="G388" s="127"/>
      <c r="H388" s="127"/>
      <c r="I388" s="12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  <c r="BE388" s="87"/>
      <c r="BF388" s="87"/>
      <c r="BG388" s="87"/>
      <c r="BH388" s="87"/>
      <c r="BI388" s="87"/>
      <c r="BJ388" s="87"/>
      <c r="BK388" s="87"/>
      <c r="BL388" s="87"/>
      <c r="BM388" s="87"/>
      <c r="BN388" s="87"/>
      <c r="BO388" s="87"/>
      <c r="BP388" s="87"/>
      <c r="BQ388" s="87"/>
      <c r="BR388" s="87"/>
      <c r="BS388" s="87"/>
      <c r="BT388" s="87"/>
      <c r="BU388" s="87"/>
      <c r="BV388" s="87"/>
      <c r="BW388" s="87"/>
      <c r="BX388" s="87"/>
      <c r="BY388" s="87"/>
    </row>
    <row r="389" spans="1:77" ht="15">
      <c r="A389" s="87"/>
      <c r="B389" s="87"/>
      <c r="C389" s="87"/>
      <c r="D389" s="87"/>
      <c r="E389" s="127"/>
      <c r="F389" s="127"/>
      <c r="G389" s="127"/>
      <c r="H389" s="127"/>
      <c r="I389" s="12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  <c r="BE389" s="87"/>
      <c r="BF389" s="87"/>
      <c r="BG389" s="87"/>
      <c r="BH389" s="87"/>
      <c r="BI389" s="87"/>
      <c r="BJ389" s="87"/>
      <c r="BK389" s="87"/>
      <c r="BL389" s="87"/>
      <c r="BM389" s="87"/>
      <c r="BN389" s="87"/>
      <c r="BO389" s="87"/>
      <c r="BP389" s="87"/>
      <c r="BQ389" s="87"/>
      <c r="BR389" s="87"/>
      <c r="BS389" s="87"/>
      <c r="BT389" s="87"/>
      <c r="BU389" s="87"/>
      <c r="BV389" s="87"/>
      <c r="BW389" s="87"/>
      <c r="BX389" s="87"/>
      <c r="BY389" s="87"/>
    </row>
    <row r="390" spans="1:77" ht="15">
      <c r="A390" s="87"/>
      <c r="B390" s="87"/>
      <c r="C390" s="87"/>
      <c r="D390" s="87"/>
      <c r="E390" s="127"/>
      <c r="F390" s="127"/>
      <c r="G390" s="127"/>
      <c r="H390" s="127"/>
      <c r="I390" s="12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  <c r="BE390" s="87"/>
      <c r="BF390" s="87"/>
      <c r="BG390" s="87"/>
      <c r="BH390" s="87"/>
      <c r="BI390" s="87"/>
      <c r="BJ390" s="87"/>
      <c r="BK390" s="87"/>
      <c r="BL390" s="87"/>
      <c r="BM390" s="87"/>
      <c r="BN390" s="87"/>
      <c r="BO390" s="87"/>
      <c r="BP390" s="87"/>
      <c r="BQ390" s="87"/>
      <c r="BR390" s="87"/>
      <c r="BS390" s="87"/>
      <c r="BT390" s="87"/>
      <c r="BU390" s="87"/>
      <c r="BV390" s="87"/>
      <c r="BW390" s="87"/>
      <c r="BX390" s="87"/>
      <c r="BY390" s="87"/>
    </row>
    <row r="391" spans="1:77" ht="15">
      <c r="A391" s="87"/>
      <c r="B391" s="87"/>
      <c r="C391" s="87"/>
      <c r="D391" s="87"/>
      <c r="E391" s="127"/>
      <c r="F391" s="127"/>
      <c r="G391" s="127"/>
      <c r="H391" s="127"/>
      <c r="I391" s="12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  <c r="BE391" s="87"/>
      <c r="BF391" s="87"/>
      <c r="BG391" s="87"/>
      <c r="BH391" s="87"/>
      <c r="BI391" s="87"/>
      <c r="BJ391" s="87"/>
      <c r="BK391" s="87"/>
      <c r="BL391" s="87"/>
      <c r="BM391" s="87"/>
      <c r="BN391" s="87"/>
      <c r="BO391" s="87"/>
      <c r="BP391" s="87"/>
      <c r="BQ391" s="87"/>
      <c r="BR391" s="87"/>
      <c r="BS391" s="87"/>
      <c r="BT391" s="87"/>
      <c r="BU391" s="87"/>
      <c r="BV391" s="87"/>
      <c r="BW391" s="87"/>
      <c r="BX391" s="87"/>
      <c r="BY391" s="87"/>
    </row>
    <row r="392" spans="1:77" ht="15">
      <c r="A392" s="87"/>
      <c r="B392" s="87"/>
      <c r="C392" s="87"/>
      <c r="D392" s="87"/>
      <c r="E392" s="127"/>
      <c r="F392" s="127"/>
      <c r="G392" s="127"/>
      <c r="H392" s="127"/>
      <c r="I392" s="12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  <c r="BE392" s="87"/>
      <c r="BF392" s="87"/>
      <c r="BG392" s="87"/>
      <c r="BH392" s="87"/>
      <c r="BI392" s="87"/>
      <c r="BJ392" s="87"/>
      <c r="BK392" s="87"/>
      <c r="BL392" s="87"/>
      <c r="BM392" s="87"/>
      <c r="BN392" s="87"/>
      <c r="BO392" s="87"/>
      <c r="BP392" s="87"/>
      <c r="BQ392" s="87"/>
      <c r="BR392" s="87"/>
      <c r="BS392" s="87"/>
      <c r="BT392" s="87"/>
      <c r="BU392" s="87"/>
      <c r="BV392" s="87"/>
      <c r="BW392" s="87"/>
      <c r="BX392" s="87"/>
      <c r="BY392" s="87"/>
    </row>
    <row r="393" spans="1:77" ht="15">
      <c r="A393" s="87"/>
      <c r="B393" s="87"/>
      <c r="C393" s="87"/>
      <c r="D393" s="87"/>
      <c r="E393" s="127"/>
      <c r="F393" s="127"/>
      <c r="G393" s="127"/>
      <c r="H393" s="127"/>
      <c r="I393" s="12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  <c r="BE393" s="87"/>
      <c r="BF393" s="87"/>
      <c r="BG393" s="87"/>
      <c r="BH393" s="87"/>
      <c r="BI393" s="87"/>
      <c r="BJ393" s="87"/>
      <c r="BK393" s="87"/>
      <c r="BL393" s="87"/>
      <c r="BM393" s="87"/>
      <c r="BN393" s="87"/>
      <c r="BO393" s="87"/>
      <c r="BP393" s="87"/>
      <c r="BQ393" s="87"/>
      <c r="BR393" s="87"/>
      <c r="BS393" s="87"/>
      <c r="BT393" s="87"/>
      <c r="BU393" s="87"/>
      <c r="BV393" s="87"/>
      <c r="BW393" s="87"/>
      <c r="BX393" s="87"/>
      <c r="BY393" s="87"/>
    </row>
    <row r="394" spans="1:77" ht="15">
      <c r="A394" s="87"/>
      <c r="B394" s="87"/>
      <c r="C394" s="87"/>
      <c r="D394" s="87"/>
      <c r="E394" s="127"/>
      <c r="F394" s="127"/>
      <c r="G394" s="127"/>
      <c r="H394" s="127"/>
      <c r="I394" s="12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  <c r="BE394" s="87"/>
      <c r="BF394" s="87"/>
      <c r="BG394" s="87"/>
      <c r="BH394" s="87"/>
      <c r="BI394" s="87"/>
      <c r="BJ394" s="87"/>
      <c r="BK394" s="87"/>
      <c r="BL394" s="87"/>
      <c r="BM394" s="87"/>
      <c r="BN394" s="87"/>
      <c r="BO394" s="87"/>
      <c r="BP394" s="87"/>
      <c r="BQ394" s="87"/>
      <c r="BR394" s="87"/>
      <c r="BS394" s="87"/>
      <c r="BT394" s="87"/>
      <c r="BU394" s="87"/>
      <c r="BV394" s="87"/>
      <c r="BW394" s="87"/>
      <c r="BX394" s="87"/>
      <c r="BY394" s="87"/>
    </row>
    <row r="395" spans="1:77" ht="15">
      <c r="A395" s="87"/>
      <c r="B395" s="87"/>
      <c r="C395" s="87"/>
      <c r="D395" s="87"/>
      <c r="E395" s="127"/>
      <c r="F395" s="127"/>
      <c r="G395" s="127"/>
      <c r="H395" s="127"/>
      <c r="I395" s="12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  <c r="BG395" s="87"/>
      <c r="BH395" s="87"/>
      <c r="BI395" s="87"/>
      <c r="BJ395" s="87"/>
      <c r="BK395" s="87"/>
      <c r="BL395" s="87"/>
      <c r="BM395" s="87"/>
      <c r="BN395" s="87"/>
      <c r="BO395" s="87"/>
      <c r="BP395" s="87"/>
      <c r="BQ395" s="87"/>
      <c r="BR395" s="87"/>
      <c r="BS395" s="87"/>
      <c r="BT395" s="87"/>
      <c r="BU395" s="87"/>
      <c r="BV395" s="87"/>
      <c r="BW395" s="87"/>
      <c r="BX395" s="87"/>
      <c r="BY395" s="87"/>
    </row>
    <row r="396" spans="1:77" ht="15">
      <c r="A396" s="87"/>
      <c r="B396" s="87"/>
      <c r="C396" s="87"/>
      <c r="D396" s="87"/>
      <c r="E396" s="127"/>
      <c r="F396" s="127"/>
      <c r="G396" s="127"/>
      <c r="H396" s="127"/>
      <c r="I396" s="12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87"/>
      <c r="BD396" s="87"/>
      <c r="BE396" s="87"/>
      <c r="BF396" s="87"/>
      <c r="BG396" s="87"/>
      <c r="BH396" s="87"/>
      <c r="BI396" s="87"/>
      <c r="BJ396" s="87"/>
      <c r="BK396" s="87"/>
      <c r="BL396" s="87"/>
      <c r="BM396" s="87"/>
      <c r="BN396" s="87"/>
      <c r="BO396" s="87"/>
      <c r="BP396" s="87"/>
      <c r="BQ396" s="87"/>
      <c r="BR396" s="87"/>
      <c r="BS396" s="87"/>
      <c r="BT396" s="87"/>
      <c r="BU396" s="87"/>
      <c r="BV396" s="87"/>
      <c r="BW396" s="87"/>
      <c r="BX396" s="87"/>
      <c r="BY396" s="87"/>
    </row>
    <row r="397" spans="1:77" ht="15">
      <c r="A397" s="87"/>
      <c r="B397" s="87"/>
      <c r="C397" s="87"/>
      <c r="D397" s="87"/>
      <c r="E397" s="127"/>
      <c r="F397" s="127"/>
      <c r="G397" s="127"/>
      <c r="H397" s="127"/>
      <c r="I397" s="12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7"/>
      <c r="BD397" s="87"/>
      <c r="BE397" s="87"/>
      <c r="BF397" s="87"/>
      <c r="BG397" s="87"/>
      <c r="BH397" s="87"/>
      <c r="BI397" s="87"/>
      <c r="BJ397" s="87"/>
      <c r="BK397" s="87"/>
      <c r="BL397" s="87"/>
      <c r="BM397" s="87"/>
      <c r="BN397" s="87"/>
      <c r="BO397" s="87"/>
      <c r="BP397" s="87"/>
      <c r="BQ397" s="87"/>
      <c r="BR397" s="87"/>
      <c r="BS397" s="87"/>
      <c r="BT397" s="87"/>
      <c r="BU397" s="87"/>
      <c r="BV397" s="87"/>
      <c r="BW397" s="87"/>
      <c r="BX397" s="87"/>
      <c r="BY397" s="87"/>
    </row>
    <row r="398" spans="1:77" ht="15">
      <c r="A398" s="87"/>
      <c r="B398" s="87"/>
      <c r="C398" s="87"/>
      <c r="D398" s="87"/>
      <c r="E398" s="127"/>
      <c r="F398" s="127"/>
      <c r="G398" s="127"/>
      <c r="H398" s="127"/>
      <c r="I398" s="12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  <c r="BE398" s="87"/>
      <c r="BF398" s="87"/>
      <c r="BG398" s="87"/>
      <c r="BH398" s="87"/>
      <c r="BI398" s="87"/>
      <c r="BJ398" s="87"/>
      <c r="BK398" s="87"/>
      <c r="BL398" s="87"/>
      <c r="BM398" s="87"/>
      <c r="BN398" s="87"/>
      <c r="BO398" s="87"/>
      <c r="BP398" s="87"/>
      <c r="BQ398" s="87"/>
      <c r="BR398" s="87"/>
      <c r="BS398" s="87"/>
      <c r="BT398" s="87"/>
      <c r="BU398" s="87"/>
      <c r="BV398" s="87"/>
      <c r="BW398" s="87"/>
      <c r="BX398" s="87"/>
      <c r="BY398" s="87"/>
    </row>
    <row r="399" spans="1:77" ht="15">
      <c r="A399" s="87"/>
      <c r="B399" s="87"/>
      <c r="C399" s="87"/>
      <c r="D399" s="87"/>
      <c r="E399" s="127"/>
      <c r="F399" s="127"/>
      <c r="G399" s="127"/>
      <c r="H399" s="127"/>
      <c r="I399" s="12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  <c r="BE399" s="87"/>
      <c r="BF399" s="87"/>
      <c r="BG399" s="87"/>
      <c r="BH399" s="87"/>
      <c r="BI399" s="87"/>
      <c r="BJ399" s="87"/>
      <c r="BK399" s="87"/>
      <c r="BL399" s="87"/>
      <c r="BM399" s="87"/>
      <c r="BN399" s="87"/>
      <c r="BO399" s="87"/>
      <c r="BP399" s="87"/>
      <c r="BQ399" s="87"/>
      <c r="BR399" s="87"/>
      <c r="BS399" s="87"/>
      <c r="BT399" s="87"/>
      <c r="BU399" s="87"/>
      <c r="BV399" s="87"/>
      <c r="BW399" s="87"/>
      <c r="BX399" s="87"/>
      <c r="BY399" s="87"/>
    </row>
    <row r="400" spans="1:77" ht="15">
      <c r="A400" s="87"/>
      <c r="B400" s="87"/>
      <c r="C400" s="87"/>
      <c r="D400" s="87"/>
      <c r="E400" s="127"/>
      <c r="F400" s="127"/>
      <c r="G400" s="127"/>
      <c r="H400" s="127"/>
      <c r="I400" s="12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  <c r="BE400" s="87"/>
      <c r="BF400" s="87"/>
      <c r="BG400" s="87"/>
      <c r="BH400" s="87"/>
      <c r="BI400" s="87"/>
      <c r="BJ400" s="87"/>
      <c r="BK400" s="87"/>
      <c r="BL400" s="87"/>
      <c r="BM400" s="87"/>
      <c r="BN400" s="87"/>
      <c r="BO400" s="87"/>
      <c r="BP400" s="87"/>
      <c r="BQ400" s="87"/>
      <c r="BR400" s="87"/>
      <c r="BS400" s="87"/>
      <c r="BT400" s="87"/>
      <c r="BU400" s="87"/>
      <c r="BV400" s="87"/>
      <c r="BW400" s="87"/>
      <c r="BX400" s="87"/>
      <c r="BY400" s="87"/>
    </row>
    <row r="401" spans="1:77" ht="15">
      <c r="A401" s="87"/>
      <c r="B401" s="87"/>
      <c r="C401" s="87"/>
      <c r="D401" s="87"/>
      <c r="E401" s="127"/>
      <c r="F401" s="127"/>
      <c r="G401" s="127"/>
      <c r="H401" s="127"/>
      <c r="I401" s="12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  <c r="BE401" s="87"/>
      <c r="BF401" s="87"/>
      <c r="BG401" s="87"/>
      <c r="BH401" s="87"/>
      <c r="BI401" s="87"/>
      <c r="BJ401" s="87"/>
      <c r="BK401" s="87"/>
      <c r="BL401" s="87"/>
      <c r="BM401" s="87"/>
      <c r="BN401" s="87"/>
      <c r="BO401" s="87"/>
      <c r="BP401" s="87"/>
      <c r="BQ401" s="87"/>
      <c r="BR401" s="87"/>
      <c r="BS401" s="87"/>
      <c r="BT401" s="87"/>
      <c r="BU401" s="87"/>
      <c r="BV401" s="87"/>
      <c r="BW401" s="87"/>
      <c r="BX401" s="87"/>
      <c r="BY401" s="87"/>
    </row>
    <row r="402" spans="1:77" ht="15">
      <c r="A402" s="87"/>
      <c r="B402" s="87"/>
      <c r="C402" s="87"/>
      <c r="D402" s="87"/>
      <c r="E402" s="127"/>
      <c r="F402" s="127"/>
      <c r="G402" s="127"/>
      <c r="H402" s="127"/>
      <c r="I402" s="12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  <c r="AY402" s="87"/>
      <c r="AZ402" s="87"/>
      <c r="BA402" s="87"/>
      <c r="BB402" s="87"/>
      <c r="BC402" s="87"/>
      <c r="BD402" s="87"/>
      <c r="BE402" s="87"/>
      <c r="BF402" s="87"/>
      <c r="BG402" s="87"/>
      <c r="BH402" s="87"/>
      <c r="BI402" s="87"/>
      <c r="BJ402" s="87"/>
      <c r="BK402" s="87"/>
      <c r="BL402" s="87"/>
      <c r="BM402" s="87"/>
      <c r="BN402" s="87"/>
      <c r="BO402" s="87"/>
      <c r="BP402" s="87"/>
      <c r="BQ402" s="87"/>
      <c r="BR402" s="87"/>
      <c r="BS402" s="87"/>
      <c r="BT402" s="87"/>
      <c r="BU402" s="87"/>
      <c r="BV402" s="87"/>
      <c r="BW402" s="87"/>
      <c r="BX402" s="87"/>
      <c r="BY402" s="87"/>
    </row>
  </sheetData>
  <mergeCells count="1">
    <mergeCell ref="A2:I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1"/>
  <sheetViews>
    <sheetView workbookViewId="0" topLeftCell="A1">
      <selection activeCell="G14" sqref="G14"/>
    </sheetView>
  </sheetViews>
  <sheetFormatPr defaultColWidth="9.140625" defaultRowHeight="15"/>
  <sheetData>
    <row r="1" spans="4:8" ht="15">
      <c r="D1" s="225"/>
      <c r="E1" s="225"/>
      <c r="F1" s="225"/>
      <c r="G1" s="225"/>
      <c r="H1" s="225"/>
    </row>
    <row r="2" spans="1:8" ht="16.5" thickBot="1">
      <c r="A2" s="354" t="s">
        <v>0</v>
      </c>
      <c r="B2" s="354"/>
      <c r="C2" s="354"/>
      <c r="D2" s="354"/>
      <c r="E2" s="354"/>
      <c r="F2" s="354"/>
      <c r="G2" s="354"/>
      <c r="H2" s="354"/>
    </row>
    <row r="3" spans="1:36" ht="15.75" thickBot="1">
      <c r="A3" s="1"/>
      <c r="B3" s="2" t="s">
        <v>1</v>
      </c>
      <c r="C3" s="2"/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9" ht="15.75" thickBot="1">
      <c r="A4" s="6"/>
      <c r="B4" s="7"/>
      <c r="C4" s="7"/>
      <c r="D4" s="7"/>
      <c r="E4" s="8"/>
      <c r="F4" s="8"/>
      <c r="G4" s="8"/>
      <c r="H4" s="8"/>
      <c r="I4" s="9"/>
    </row>
    <row r="5" spans="1:23" ht="15.75" thickBot="1">
      <c r="A5" s="10" t="s">
        <v>8</v>
      </c>
      <c r="B5" s="11" t="s">
        <v>9</v>
      </c>
      <c r="C5" s="11"/>
      <c r="D5" s="11"/>
      <c r="E5" s="12"/>
      <c r="F5" s="12"/>
      <c r="G5" s="12"/>
      <c r="H5" s="12"/>
      <c r="I5" s="13"/>
      <c r="J5" s="2" t="s">
        <v>2</v>
      </c>
      <c r="K5" s="3" t="s">
        <v>3</v>
      </c>
      <c r="L5" s="3" t="s">
        <v>4</v>
      </c>
      <c r="M5" s="3" t="s">
        <v>5</v>
      </c>
      <c r="N5" s="3" t="s">
        <v>6</v>
      </c>
      <c r="O5" s="4" t="s">
        <v>7</v>
      </c>
      <c r="P5" t="s">
        <v>10</v>
      </c>
      <c r="Q5" s="2" t="s">
        <v>2</v>
      </c>
      <c r="R5" s="3" t="s">
        <v>3</v>
      </c>
      <c r="S5" s="3" t="s">
        <v>4</v>
      </c>
      <c r="T5" s="3" t="s">
        <v>5</v>
      </c>
      <c r="U5" s="3" t="s">
        <v>6</v>
      </c>
      <c r="V5" s="4" t="s">
        <v>7</v>
      </c>
      <c r="W5" s="4"/>
    </row>
    <row r="6" spans="1:36" ht="15">
      <c r="A6" s="14">
        <v>1</v>
      </c>
      <c r="B6" s="15" t="s">
        <v>11</v>
      </c>
      <c r="C6" s="16"/>
      <c r="D6" s="17">
        <f>J6*$I6/100</f>
        <v>64.25510961089628</v>
      </c>
      <c r="E6" s="17">
        <f>K6*$I6/100</f>
        <v>42.656576409296065</v>
      </c>
      <c r="F6" s="17">
        <f>L6*$I6/100</f>
        <v>0</v>
      </c>
      <c r="G6" s="17">
        <f>M6*$I6/100</f>
        <v>23.252573762667392</v>
      </c>
      <c r="H6" s="17">
        <f>N6*$I6/100</f>
        <v>70.10074021714028</v>
      </c>
      <c r="I6" s="16">
        <f>84.5*2.37</f>
        <v>200.26500000000001</v>
      </c>
      <c r="J6" s="18">
        <v>32.085042124633</v>
      </c>
      <c r="K6" s="19">
        <v>21.300065617704572</v>
      </c>
      <c r="L6" s="19">
        <v>0</v>
      </c>
      <c r="M6" s="19">
        <v>11.610902435606517</v>
      </c>
      <c r="N6" s="19">
        <v>35.003989822055914</v>
      </c>
      <c r="O6" s="19">
        <v>100</v>
      </c>
      <c r="P6" s="20"/>
      <c r="Q6" s="18"/>
      <c r="R6" s="19"/>
      <c r="S6" s="19"/>
      <c r="T6" s="19"/>
      <c r="U6" s="19"/>
      <c r="V6" s="19"/>
      <c r="W6" s="19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22" ht="15">
      <c r="A7" s="21">
        <v>2</v>
      </c>
      <c r="B7" s="22" t="s">
        <v>12</v>
      </c>
      <c r="C7" s="22"/>
      <c r="D7" s="23">
        <f>'[1]CH a'!G30</f>
        <v>475.7692307692308</v>
      </c>
      <c r="E7" s="24">
        <f>'[1]CH a'!K30</f>
        <v>1336.8294333333333</v>
      </c>
      <c r="F7" s="24"/>
      <c r="G7" s="24">
        <f>'[1]CH a'!R30</f>
        <v>449.519</v>
      </c>
      <c r="H7" s="24">
        <f>'[1]CH a'!W30</f>
        <v>145</v>
      </c>
      <c r="I7" s="25">
        <f aca="true" t="shared" si="0" ref="I7:I16">SUM(D7:H7)</f>
        <v>2407.117664102564</v>
      </c>
      <c r="J7" s="26">
        <f aca="true" t="shared" si="1" ref="J7:O16">D7*100/$I7</f>
        <v>19.765100720434035</v>
      </c>
      <c r="K7" s="26">
        <f t="shared" si="1"/>
        <v>55.53652209318725</v>
      </c>
      <c r="L7" s="26">
        <f t="shared" si="1"/>
        <v>0</v>
      </c>
      <c r="M7" s="26">
        <f t="shared" si="1"/>
        <v>18.674575269156705</v>
      </c>
      <c r="N7" s="26">
        <f t="shared" si="1"/>
        <v>6.023801917222014</v>
      </c>
      <c r="O7" s="26">
        <f t="shared" si="1"/>
        <v>100</v>
      </c>
      <c r="P7" s="27">
        <v>0.1933708438447344</v>
      </c>
      <c r="Q7" s="26">
        <f aca="true" t="shared" si="2" ref="Q7:V16">J7*$P7/100</f>
        <v>0.03821994204986497</v>
      </c>
      <c r="R7" s="26">
        <f t="shared" si="2"/>
        <v>0.10739144141361354</v>
      </c>
      <c r="S7" s="26">
        <f t="shared" si="2"/>
        <v>0</v>
      </c>
      <c r="T7" s="26">
        <f t="shared" si="2"/>
        <v>0.0361111837823884</v>
      </c>
      <c r="U7" s="26">
        <f t="shared" si="2"/>
        <v>0.011648276598867498</v>
      </c>
      <c r="V7" s="26">
        <f t="shared" si="2"/>
        <v>0.19337084384473444</v>
      </c>
    </row>
    <row r="8" spans="1:22" ht="15">
      <c r="A8" s="21">
        <v>3</v>
      </c>
      <c r="B8" s="28" t="s">
        <v>13</v>
      </c>
      <c r="C8" s="28"/>
      <c r="D8" s="29">
        <f>'[1]CH b'!G17</f>
        <v>6171.778846153846</v>
      </c>
      <c r="E8" s="30"/>
      <c r="F8" s="30">
        <f>'[1]CH b'!M17</f>
        <v>30</v>
      </c>
      <c r="G8" s="30">
        <f>'[1]CH b'!R17</f>
        <v>471.72</v>
      </c>
      <c r="H8" s="30">
        <f>'[1]CH b'!W17</f>
        <v>745</v>
      </c>
      <c r="I8" s="31">
        <f t="shared" si="0"/>
        <v>7418.498846153846</v>
      </c>
      <c r="J8" s="26">
        <f t="shared" si="1"/>
        <v>83.19444370276653</v>
      </c>
      <c r="K8" s="26">
        <f t="shared" si="1"/>
        <v>0</v>
      </c>
      <c r="L8" s="26">
        <f t="shared" si="1"/>
        <v>0.4043944822550405</v>
      </c>
      <c r="M8" s="26">
        <f t="shared" si="1"/>
        <v>6.358698838978257</v>
      </c>
      <c r="N8" s="26">
        <f t="shared" si="1"/>
        <v>10.042462976000174</v>
      </c>
      <c r="O8" s="26">
        <f t="shared" si="1"/>
        <v>100</v>
      </c>
      <c r="P8" s="27">
        <v>0.5959498379888233</v>
      </c>
      <c r="Q8" s="32">
        <f t="shared" si="2"/>
        <v>0.49579715246233996</v>
      </c>
      <c r="R8" s="32">
        <f t="shared" si="2"/>
        <v>0</v>
      </c>
      <c r="S8" s="32">
        <f t="shared" si="2"/>
        <v>0.0024099882618346547</v>
      </c>
      <c r="T8" s="32">
        <f t="shared" si="2"/>
        <v>0.03789465542908811</v>
      </c>
      <c r="U8" s="32">
        <f t="shared" si="2"/>
        <v>0.0598480418355606</v>
      </c>
      <c r="V8" s="32">
        <f t="shared" si="2"/>
        <v>0.5959498379888233</v>
      </c>
    </row>
    <row r="9" spans="1:22" ht="15">
      <c r="A9" s="21">
        <v>4</v>
      </c>
      <c r="B9" s="33" t="s">
        <v>14</v>
      </c>
      <c r="C9" s="33"/>
      <c r="D9" s="29">
        <f>'[1]CH c'!G27</f>
        <v>770.6971153846154</v>
      </c>
      <c r="E9" s="30">
        <f>'[1]CH c'!K27</f>
        <v>158.52200000000002</v>
      </c>
      <c r="F9" s="30">
        <f>'[1]CH c'!M27</f>
        <v>25</v>
      </c>
      <c r="G9" s="30">
        <f>'[1]CH c'!R27</f>
        <v>143.56</v>
      </c>
      <c r="H9" s="30">
        <f>'[1]CH c'!W27</f>
        <v>1650</v>
      </c>
      <c r="I9" s="31">
        <f t="shared" si="0"/>
        <v>2747.7791153846156</v>
      </c>
      <c r="J9" s="26">
        <f t="shared" si="1"/>
        <v>28.048001059093075</v>
      </c>
      <c r="K9" s="26">
        <f t="shared" si="1"/>
        <v>5.769095452849426</v>
      </c>
      <c r="L9" s="26">
        <f t="shared" si="1"/>
        <v>0.9098256792195129</v>
      </c>
      <c r="M9" s="26">
        <f t="shared" si="1"/>
        <v>5.224582980350131</v>
      </c>
      <c r="N9" s="26">
        <f t="shared" si="1"/>
        <v>60.04849482848785</v>
      </c>
      <c r="O9" s="26">
        <f t="shared" si="1"/>
        <v>100</v>
      </c>
      <c r="P9" s="27">
        <v>0</v>
      </c>
      <c r="Q9" s="32">
        <f t="shared" si="2"/>
        <v>0</v>
      </c>
      <c r="R9" s="32">
        <f t="shared" si="2"/>
        <v>0</v>
      </c>
      <c r="S9" s="32">
        <f t="shared" si="2"/>
        <v>0</v>
      </c>
      <c r="T9" s="32">
        <f t="shared" si="2"/>
        <v>0</v>
      </c>
      <c r="U9" s="32">
        <f t="shared" si="2"/>
        <v>0</v>
      </c>
      <c r="V9" s="32">
        <f t="shared" si="2"/>
        <v>0</v>
      </c>
    </row>
    <row r="10" spans="1:22" ht="15">
      <c r="A10" s="21">
        <v>5</v>
      </c>
      <c r="B10" s="33" t="s">
        <v>15</v>
      </c>
      <c r="C10" s="33"/>
      <c r="D10" s="29">
        <f>'[1]CH c'!G33</f>
        <v>164.9278846153846</v>
      </c>
      <c r="E10" s="30">
        <f>'[1]CH c'!K33</f>
        <v>141.96</v>
      </c>
      <c r="F10" s="30"/>
      <c r="G10" s="30">
        <f>'[1]CH c'!R33</f>
        <v>0</v>
      </c>
      <c r="H10" s="30">
        <f>'[1]CH c'!W33</f>
        <v>1490</v>
      </c>
      <c r="I10" s="31">
        <f t="shared" si="0"/>
        <v>1796.8878846153846</v>
      </c>
      <c r="J10" s="26">
        <f t="shared" si="1"/>
        <v>9.178529502450658</v>
      </c>
      <c r="K10" s="26">
        <f t="shared" si="1"/>
        <v>7.900325958866703</v>
      </c>
      <c r="L10" s="26">
        <f t="shared" si="1"/>
        <v>0</v>
      </c>
      <c r="M10" s="26">
        <f t="shared" si="1"/>
        <v>0</v>
      </c>
      <c r="N10" s="26">
        <f t="shared" si="1"/>
        <v>82.92114453868264</v>
      </c>
      <c r="O10" s="26">
        <f t="shared" si="1"/>
        <v>100</v>
      </c>
      <c r="P10" s="27">
        <v>0.4025207408626106</v>
      </c>
      <c r="Q10" s="32">
        <f t="shared" si="2"/>
        <v>0.03694548495355767</v>
      </c>
      <c r="R10" s="32">
        <f t="shared" si="2"/>
        <v>0.031800450580191396</v>
      </c>
      <c r="S10" s="32">
        <f t="shared" si="2"/>
        <v>0</v>
      </c>
      <c r="T10" s="32">
        <f t="shared" si="2"/>
        <v>0</v>
      </c>
      <c r="U10" s="32">
        <f t="shared" si="2"/>
        <v>0.33377480532886156</v>
      </c>
      <c r="V10" s="32">
        <f t="shared" si="2"/>
        <v>0.4025207408626106</v>
      </c>
    </row>
    <row r="11" spans="1:22" ht="15">
      <c r="A11" s="21">
        <v>6</v>
      </c>
      <c r="B11" s="33" t="s">
        <v>16</v>
      </c>
      <c r="C11" s="33"/>
      <c r="D11" s="29">
        <f>'[1]CH ARI'!G30</f>
        <v>21.346153846153847</v>
      </c>
      <c r="E11" s="30"/>
      <c r="F11" s="30"/>
      <c r="G11" s="30">
        <f>'[1]CH ARI'!R30</f>
        <v>685.425</v>
      </c>
      <c r="H11" s="30">
        <f>'[1]CH ARI'!W30</f>
        <v>50</v>
      </c>
      <c r="I11" s="31">
        <f t="shared" si="0"/>
        <v>756.7711538461538</v>
      </c>
      <c r="J11" s="26">
        <f t="shared" si="1"/>
        <v>2.8206880954256577</v>
      </c>
      <c r="K11" s="26">
        <f t="shared" si="1"/>
        <v>0</v>
      </c>
      <c r="L11" s="26">
        <f t="shared" si="1"/>
        <v>0</v>
      </c>
      <c r="M11" s="26">
        <f t="shared" si="1"/>
        <v>90.57229474411785</v>
      </c>
      <c r="N11" s="26">
        <f t="shared" si="1"/>
        <v>6.607017160456495</v>
      </c>
      <c r="O11" s="26">
        <f t="shared" si="1"/>
        <v>100</v>
      </c>
      <c r="P11" s="27">
        <v>78.01513680989981</v>
      </c>
      <c r="Q11" s="32">
        <f t="shared" si="2"/>
        <v>2.200563676626884</v>
      </c>
      <c r="R11" s="32">
        <f t="shared" si="2"/>
        <v>0</v>
      </c>
      <c r="S11" s="32">
        <f t="shared" si="2"/>
        <v>0</v>
      </c>
      <c r="T11" s="32">
        <f t="shared" si="2"/>
        <v>70.66009965648925</v>
      </c>
      <c r="U11" s="32">
        <f t="shared" si="2"/>
        <v>5.154473476783693</v>
      </c>
      <c r="V11" s="32">
        <f t="shared" si="2"/>
        <v>78.01513680989981</v>
      </c>
    </row>
    <row r="12" spans="1:22" ht="15">
      <c r="A12" s="21">
        <v>7</v>
      </c>
      <c r="B12" s="33" t="s">
        <v>17</v>
      </c>
      <c r="C12" s="33"/>
      <c r="D12" s="29">
        <f>'[1]CH ARI SP'!G20</f>
        <v>2378.846153846154</v>
      </c>
      <c r="E12" s="30"/>
      <c r="F12" s="30">
        <f>'[1]CH ARI SP'!M20</f>
        <v>260</v>
      </c>
      <c r="G12" s="30">
        <f>'[1]CH ARI SP'!R20</f>
        <v>3535.3</v>
      </c>
      <c r="H12" s="30">
        <f>'[1]CH ARI SP'!W20</f>
        <v>590</v>
      </c>
      <c r="I12" s="31">
        <f t="shared" si="0"/>
        <v>6764.1461538461535</v>
      </c>
      <c r="J12" s="26">
        <f t="shared" si="1"/>
        <v>35.16846176503032</v>
      </c>
      <c r="K12" s="26">
        <f t="shared" si="1"/>
        <v>0</v>
      </c>
      <c r="L12" s="26">
        <f t="shared" si="1"/>
        <v>3.8437963060890055</v>
      </c>
      <c r="M12" s="26">
        <f t="shared" si="1"/>
        <v>52.26528108044793</v>
      </c>
      <c r="N12" s="26">
        <f t="shared" si="1"/>
        <v>8.722460848432744</v>
      </c>
      <c r="O12" s="26">
        <f t="shared" si="1"/>
        <v>100</v>
      </c>
      <c r="P12" s="27">
        <v>69.73122388617683</v>
      </c>
      <c r="Q12" s="32">
        <f t="shared" si="2"/>
        <v>24.523398810697792</v>
      </c>
      <c r="R12" s="32">
        <f t="shared" si="2"/>
        <v>0</v>
      </c>
      <c r="S12" s="32">
        <f t="shared" si="2"/>
        <v>2.6803262079275196</v>
      </c>
      <c r="T12" s="32">
        <f t="shared" si="2"/>
        <v>36.44522016494677</v>
      </c>
      <c r="U12" s="32">
        <f t="shared" si="2"/>
        <v>6.082278702604757</v>
      </c>
      <c r="V12" s="32">
        <f t="shared" si="2"/>
        <v>69.73122388617683</v>
      </c>
    </row>
    <row r="13" spans="1:22" ht="15">
      <c r="A13" s="21">
        <v>8</v>
      </c>
      <c r="B13" s="33" t="s">
        <v>18</v>
      </c>
      <c r="C13" s="33"/>
      <c r="D13" s="29">
        <f>'[1]CH D D'!G31</f>
        <v>170.76923076923077</v>
      </c>
      <c r="E13" s="30"/>
      <c r="F13" s="30"/>
      <c r="G13" s="30">
        <f>'[1]CH D D'!R31</f>
        <v>4.68</v>
      </c>
      <c r="H13" s="30">
        <f>'[1]CH D D'!W31</f>
        <v>50</v>
      </c>
      <c r="I13" s="31">
        <f t="shared" si="0"/>
        <v>225.44923076923078</v>
      </c>
      <c r="J13" s="26">
        <f t="shared" si="1"/>
        <v>75.746202453904</v>
      </c>
      <c r="K13" s="26">
        <f t="shared" si="1"/>
        <v>0</v>
      </c>
      <c r="L13" s="26">
        <f t="shared" si="1"/>
        <v>0</v>
      </c>
      <c r="M13" s="26">
        <f t="shared" si="1"/>
        <v>2.075855386169153</v>
      </c>
      <c r="N13" s="26">
        <f t="shared" si="1"/>
        <v>22.177942159926847</v>
      </c>
      <c r="O13" s="26">
        <f t="shared" si="1"/>
        <v>100</v>
      </c>
      <c r="P13" s="34">
        <v>28.953911084937715</v>
      </c>
      <c r="Q13" s="32">
        <f t="shared" si="2"/>
        <v>21.931488108720274</v>
      </c>
      <c r="R13" s="32">
        <f t="shared" si="2"/>
        <v>0</v>
      </c>
      <c r="S13" s="32">
        <f t="shared" si="2"/>
        <v>0</v>
      </c>
      <c r="T13" s="32">
        <f t="shared" si="2"/>
        <v>0.6010413227633069</v>
      </c>
      <c r="U13" s="32">
        <f t="shared" si="2"/>
        <v>6.421381653454135</v>
      </c>
      <c r="V13" s="32">
        <f t="shared" si="2"/>
        <v>28.95391108493772</v>
      </c>
    </row>
    <row r="14" spans="1:22" ht="15">
      <c r="A14" s="21">
        <v>9</v>
      </c>
      <c r="B14" s="33" t="s">
        <v>19</v>
      </c>
      <c r="C14" s="33"/>
      <c r="D14" s="29">
        <f>'[1]CH D nD'!G13</f>
        <v>624.7836538461538</v>
      </c>
      <c r="E14" s="30"/>
      <c r="F14" s="30">
        <f>'[1]CH D nD'!M13</f>
        <v>25</v>
      </c>
      <c r="G14" s="30">
        <f>'[1]CH D nD'!R13</f>
        <v>2504.7000000000003</v>
      </c>
      <c r="H14" s="30">
        <f>'[1]CH D nD'!W13</f>
        <v>145</v>
      </c>
      <c r="I14" s="31">
        <f t="shared" si="0"/>
        <v>3299.483653846154</v>
      </c>
      <c r="J14" s="26">
        <f t="shared" si="1"/>
        <v>18.935800852289532</v>
      </c>
      <c r="K14" s="26">
        <f t="shared" si="1"/>
        <v>0</v>
      </c>
      <c r="L14" s="26">
        <f t="shared" si="1"/>
        <v>0.7576943128921978</v>
      </c>
      <c r="M14" s="26">
        <f t="shared" si="1"/>
        <v>75.91187782004353</v>
      </c>
      <c r="N14" s="26">
        <f t="shared" si="1"/>
        <v>4.3946270147747475</v>
      </c>
      <c r="O14" s="26">
        <f t="shared" si="1"/>
        <v>100.00000000000001</v>
      </c>
      <c r="P14" s="34">
        <v>105.93621900339753</v>
      </c>
      <c r="Q14" s="32">
        <f t="shared" si="2"/>
        <v>20.05987146092865</v>
      </c>
      <c r="R14" s="32">
        <f t="shared" si="2"/>
        <v>0</v>
      </c>
      <c r="S14" s="32">
        <f t="shared" si="2"/>
        <v>0.8026727066817668</v>
      </c>
      <c r="T14" s="32">
        <f t="shared" si="2"/>
        <v>80.41817313703287</v>
      </c>
      <c r="U14" s="32">
        <f t="shared" si="2"/>
        <v>4.6555016987542475</v>
      </c>
      <c r="V14" s="32">
        <f t="shared" si="2"/>
        <v>105.93621900339754</v>
      </c>
    </row>
    <row r="15" spans="1:22" ht="15">
      <c r="A15" s="21">
        <v>10</v>
      </c>
      <c r="B15" s="33" t="s">
        <v>20</v>
      </c>
      <c r="C15" s="33"/>
      <c r="D15" s="29">
        <f>'[1]CH D'!G29</f>
        <v>21.346153846153847</v>
      </c>
      <c r="E15" s="30"/>
      <c r="F15" s="30"/>
      <c r="G15" s="30">
        <f>'[1]CH D'!R29</f>
        <v>41.65</v>
      </c>
      <c r="H15" s="30">
        <f>'[1]CH D'!W29</f>
        <v>25</v>
      </c>
      <c r="I15" s="31">
        <f t="shared" si="0"/>
        <v>87.99615384615385</v>
      </c>
      <c r="J15" s="26">
        <f t="shared" si="1"/>
        <v>24.25805323659251</v>
      </c>
      <c r="K15" s="26">
        <f t="shared" si="1"/>
        <v>0</v>
      </c>
      <c r="L15" s="26">
        <f t="shared" si="1"/>
        <v>0</v>
      </c>
      <c r="M15" s="26">
        <f t="shared" si="1"/>
        <v>47.331614143974825</v>
      </c>
      <c r="N15" s="26">
        <f t="shared" si="1"/>
        <v>28.41033261943267</v>
      </c>
      <c r="O15" s="26">
        <f t="shared" si="1"/>
        <v>100</v>
      </c>
      <c r="P15" s="34">
        <v>2.1496573447164384</v>
      </c>
      <c r="Q15" s="32">
        <f t="shared" si="2"/>
        <v>0.5214650230856346</v>
      </c>
      <c r="R15" s="32">
        <f t="shared" si="2"/>
        <v>0</v>
      </c>
      <c r="S15" s="32">
        <f t="shared" si="2"/>
        <v>0</v>
      </c>
      <c r="T15" s="32">
        <f t="shared" si="2"/>
        <v>1.0174675198187995</v>
      </c>
      <c r="U15" s="32">
        <f t="shared" si="2"/>
        <v>0.6107248018120045</v>
      </c>
      <c r="V15" s="32">
        <f t="shared" si="2"/>
        <v>2.1496573447164384</v>
      </c>
    </row>
    <row r="16" spans="1:22" ht="15">
      <c r="A16" s="35">
        <v>11</v>
      </c>
      <c r="B16" s="33" t="s">
        <v>21</v>
      </c>
      <c r="C16" s="33"/>
      <c r="D16" s="29">
        <f>'[1]CH M'!G20</f>
        <v>2308.9903846153848</v>
      </c>
      <c r="E16" s="30"/>
      <c r="F16" s="30">
        <f>'[1]CH M'!M20</f>
        <v>100</v>
      </c>
      <c r="G16" s="30">
        <f>'[1]CH M'!R20</f>
        <v>32.76</v>
      </c>
      <c r="H16" s="30">
        <f>'[1]CH M'!W20</f>
        <v>745</v>
      </c>
      <c r="I16" s="31">
        <f t="shared" si="0"/>
        <v>3186.750384615385</v>
      </c>
      <c r="J16" s="26">
        <f t="shared" si="1"/>
        <v>72.45595374405394</v>
      </c>
      <c r="K16" s="26">
        <f t="shared" si="1"/>
        <v>0</v>
      </c>
      <c r="L16" s="26">
        <f t="shared" si="1"/>
        <v>3.1379928745837176</v>
      </c>
      <c r="M16" s="26">
        <f t="shared" si="1"/>
        <v>1.0280064657136259</v>
      </c>
      <c r="N16" s="26">
        <f t="shared" si="1"/>
        <v>23.378046915648696</v>
      </c>
      <c r="O16" s="26">
        <f t="shared" si="1"/>
        <v>100</v>
      </c>
      <c r="P16" s="27">
        <v>3.6816651102593148</v>
      </c>
      <c r="Q16" s="32">
        <f t="shared" si="2"/>
        <v>2.6675855693004618</v>
      </c>
      <c r="R16" s="32">
        <f t="shared" si="2"/>
        <v>0</v>
      </c>
      <c r="S16" s="32">
        <f t="shared" si="2"/>
        <v>0.11553038882597207</v>
      </c>
      <c r="T16" s="32">
        <f t="shared" si="2"/>
        <v>0.03784775537938845</v>
      </c>
      <c r="U16" s="32">
        <f t="shared" si="2"/>
        <v>0.8607013967534918</v>
      </c>
      <c r="V16" s="32">
        <f t="shared" si="2"/>
        <v>3.6816651102593148</v>
      </c>
    </row>
    <row r="17" spans="1:21" ht="15.75" thickBot="1">
      <c r="A17" s="36" t="s">
        <v>22</v>
      </c>
      <c r="B17" s="37"/>
      <c r="C17" s="38"/>
      <c r="D17" s="39"/>
      <c r="E17" s="39"/>
      <c r="F17" s="39"/>
      <c r="G17" s="39"/>
      <c r="H17" s="40"/>
      <c r="I17" s="41"/>
      <c r="J17" s="26"/>
      <c r="K17" s="26"/>
      <c r="L17" s="26"/>
      <c r="M17" s="26"/>
      <c r="N17" s="26"/>
      <c r="O17" s="27"/>
      <c r="P17" s="32">
        <f aca="true" t="shared" si="3" ref="P17:U18">I17*$O17/100</f>
        <v>0</v>
      </c>
      <c r="Q17" s="32">
        <f t="shared" si="3"/>
        <v>0</v>
      </c>
      <c r="R17" s="32">
        <f t="shared" si="3"/>
        <v>0</v>
      </c>
      <c r="S17" s="32">
        <f t="shared" si="3"/>
        <v>0</v>
      </c>
      <c r="T17" s="32">
        <f t="shared" si="3"/>
        <v>0</v>
      </c>
      <c r="U17" s="32">
        <f t="shared" si="3"/>
        <v>0</v>
      </c>
    </row>
    <row r="18" spans="1:21" ht="15.75" thickBot="1">
      <c r="A18" s="10" t="s">
        <v>23</v>
      </c>
      <c r="B18" s="11" t="s">
        <v>24</v>
      </c>
      <c r="C18" s="11"/>
      <c r="D18" s="12"/>
      <c r="E18" s="12"/>
      <c r="F18" s="12"/>
      <c r="G18" s="12"/>
      <c r="H18" s="13"/>
      <c r="I18" s="41"/>
      <c r="J18" s="26"/>
      <c r="K18" s="26"/>
      <c r="L18" s="26"/>
      <c r="M18" s="26"/>
      <c r="N18" s="26"/>
      <c r="O18" s="27"/>
      <c r="P18" s="32">
        <f t="shared" si="3"/>
        <v>0</v>
      </c>
      <c r="Q18" s="32">
        <f t="shared" si="3"/>
        <v>0</v>
      </c>
      <c r="R18" s="32">
        <f t="shared" si="3"/>
        <v>0</v>
      </c>
      <c r="S18" s="32">
        <f t="shared" si="3"/>
        <v>0</v>
      </c>
      <c r="T18" s="32">
        <f t="shared" si="3"/>
        <v>0</v>
      </c>
      <c r="U18" s="32">
        <f t="shared" si="3"/>
        <v>0</v>
      </c>
    </row>
    <row r="19" spans="1:36" ht="15">
      <c r="A19" s="42">
        <v>12</v>
      </c>
      <c r="B19" s="43" t="s">
        <v>25</v>
      </c>
      <c r="C19" s="44"/>
      <c r="D19" s="17">
        <f aca="true" t="shared" si="4" ref="D19:H20">J19*$I19/100</f>
        <v>70.36287975676034</v>
      </c>
      <c r="E19" s="17">
        <f t="shared" si="4"/>
        <v>0</v>
      </c>
      <c r="F19" s="17">
        <f t="shared" si="4"/>
        <v>0.426441695495517</v>
      </c>
      <c r="G19" s="17">
        <f t="shared" si="4"/>
        <v>367.74673435162026</v>
      </c>
      <c r="H19" s="17">
        <f t="shared" si="4"/>
        <v>221.177144196124</v>
      </c>
      <c r="I19" s="45">
        <f>278.36*2.37</f>
        <v>659.7132</v>
      </c>
      <c r="J19" s="45">
        <v>10.665677108895249</v>
      </c>
      <c r="K19" s="45">
        <v>0</v>
      </c>
      <c r="L19" s="45">
        <v>0.06464046732663785</v>
      </c>
      <c r="M19" s="46">
        <v>55.7434252265409</v>
      </c>
      <c r="N19" s="47">
        <v>33.52625719723722</v>
      </c>
      <c r="O19" s="46">
        <v>100</v>
      </c>
      <c r="P19" s="46">
        <f>O19/10611</f>
        <v>0.009424182452172273</v>
      </c>
      <c r="Q19" s="48"/>
      <c r="R19" s="48"/>
      <c r="S19" s="49"/>
      <c r="T19" s="48"/>
      <c r="U19" s="49"/>
      <c r="V19" s="48"/>
      <c r="W19" s="49"/>
      <c r="X19" s="48"/>
      <c r="Y19" s="49"/>
      <c r="Z19" s="48"/>
      <c r="AA19" s="49"/>
      <c r="AB19" s="48"/>
      <c r="AC19" s="49"/>
      <c r="AD19" s="48"/>
      <c r="AE19" s="49"/>
      <c r="AF19" s="48"/>
      <c r="AG19" s="49"/>
      <c r="AH19" s="48"/>
      <c r="AI19" s="48"/>
      <c r="AJ19" s="48"/>
    </row>
    <row r="20" spans="1:36" ht="39">
      <c r="A20" s="21">
        <v>13</v>
      </c>
      <c r="B20" s="43" t="s">
        <v>26</v>
      </c>
      <c r="C20" s="44"/>
      <c r="D20" s="17">
        <f t="shared" si="4"/>
        <v>482.53200000000004</v>
      </c>
      <c r="E20" s="17">
        <f t="shared" si="4"/>
        <v>120.63300000000001</v>
      </c>
      <c r="F20" s="17">
        <f t="shared" si="4"/>
        <v>120.63300000000001</v>
      </c>
      <c r="G20" s="17">
        <f t="shared" si="4"/>
        <v>241.26600000000002</v>
      </c>
      <c r="H20" s="17">
        <f t="shared" si="4"/>
        <v>241.26600000000002</v>
      </c>
      <c r="I20" s="45">
        <f>509*2.37</f>
        <v>1206.3300000000002</v>
      </c>
      <c r="J20" s="45">
        <v>40</v>
      </c>
      <c r="K20" s="45">
        <v>10</v>
      </c>
      <c r="L20" s="45">
        <v>10</v>
      </c>
      <c r="M20" s="46">
        <v>20</v>
      </c>
      <c r="N20" s="50">
        <v>20</v>
      </c>
      <c r="O20" s="46">
        <v>100</v>
      </c>
      <c r="P20" s="46">
        <f>O20/10611</f>
        <v>0.009424182452172273</v>
      </c>
      <c r="Q20" s="48"/>
      <c r="R20" s="48"/>
      <c r="S20" s="49"/>
      <c r="T20" s="48"/>
      <c r="U20" s="49"/>
      <c r="V20" s="48"/>
      <c r="W20" s="49"/>
      <c r="X20" s="48"/>
      <c r="Y20" s="49"/>
      <c r="Z20" s="48"/>
      <c r="AA20" s="49"/>
      <c r="AB20" s="48"/>
      <c r="AC20" s="49"/>
      <c r="AD20" s="48"/>
      <c r="AE20" s="49"/>
      <c r="AF20" s="48"/>
      <c r="AG20" s="49"/>
      <c r="AH20" s="48"/>
      <c r="AI20" s="48"/>
      <c r="AJ20" s="48"/>
    </row>
    <row r="21" spans="1:36" ht="51.75">
      <c r="A21" s="21">
        <v>14</v>
      </c>
      <c r="B21" s="43" t="s">
        <v>27</v>
      </c>
      <c r="C21" s="44"/>
      <c r="D21" s="45"/>
      <c r="E21" s="45"/>
      <c r="F21" s="45"/>
      <c r="G21" s="45"/>
      <c r="H21" s="45"/>
      <c r="I21" s="45"/>
      <c r="J21" s="51"/>
      <c r="K21" s="51"/>
      <c r="L21" s="51"/>
      <c r="M21" s="51"/>
      <c r="N21" s="51"/>
      <c r="O21" s="46"/>
      <c r="P21" s="46"/>
      <c r="Q21" s="48"/>
      <c r="R21" s="48"/>
      <c r="S21" s="49"/>
      <c r="T21" s="48"/>
      <c r="U21" s="49"/>
      <c r="V21" s="48"/>
      <c r="W21" s="49"/>
      <c r="X21" s="48"/>
      <c r="Y21" s="49"/>
      <c r="Z21" s="48"/>
      <c r="AA21" s="49"/>
      <c r="AB21" s="48"/>
      <c r="AC21" s="49"/>
      <c r="AD21" s="48"/>
      <c r="AE21" s="49"/>
      <c r="AF21" s="48"/>
      <c r="AG21" s="49"/>
      <c r="AH21" s="48"/>
      <c r="AI21" s="48"/>
      <c r="AJ21" s="48"/>
    </row>
    <row r="22" spans="1:36" ht="39">
      <c r="A22" s="21">
        <v>15</v>
      </c>
      <c r="B22" s="43" t="s">
        <v>28</v>
      </c>
      <c r="C22" s="44"/>
      <c r="D22" s="17">
        <f>J22*$I22/100</f>
        <v>2078.235236019912</v>
      </c>
      <c r="E22" s="17">
        <f>K22*$I22/100</f>
        <v>1039.117618009956</v>
      </c>
      <c r="F22" s="17">
        <f>L22*$I22/100</f>
        <v>0</v>
      </c>
      <c r="G22" s="17">
        <f>M22*$I22/100</f>
        <v>1039.117618009956</v>
      </c>
      <c r="H22" s="17">
        <f>N22*$I22/100</f>
        <v>1039.117618009956</v>
      </c>
      <c r="I22" s="30">
        <f>2192.23126162438*2.37</f>
        <v>5195.5880900497805</v>
      </c>
      <c r="J22" s="45">
        <v>40</v>
      </c>
      <c r="K22" s="45">
        <v>20</v>
      </c>
      <c r="L22" s="45"/>
      <c r="M22" s="46">
        <v>20</v>
      </c>
      <c r="N22" s="50">
        <v>20</v>
      </c>
      <c r="O22" s="52">
        <f>M22*N22/100000</f>
        <v>0.004</v>
      </c>
      <c r="P22" s="53">
        <f>O22/10611</f>
        <v>3.76967298086891E-07</v>
      </c>
      <c r="Q22" s="54"/>
      <c r="R22" s="54"/>
      <c r="S22" s="55"/>
      <c r="T22" s="54"/>
      <c r="U22" s="55"/>
      <c r="V22" s="54"/>
      <c r="W22" s="55"/>
      <c r="X22" s="54"/>
      <c r="Y22" s="55"/>
      <c r="Z22" s="54"/>
      <c r="AA22" s="55"/>
      <c r="AB22" s="54"/>
      <c r="AC22" s="55"/>
      <c r="AD22" s="54"/>
      <c r="AE22" s="55"/>
      <c r="AF22" s="54"/>
      <c r="AG22" s="55"/>
      <c r="AH22" s="54"/>
      <c r="AI22" s="54"/>
      <c r="AJ22" s="54"/>
    </row>
    <row r="23" spans="1:36" ht="39">
      <c r="A23" s="21">
        <v>16</v>
      </c>
      <c r="B23" s="43" t="s">
        <v>29</v>
      </c>
      <c r="C23" s="44"/>
      <c r="D23" s="56">
        <v>786.0491071428571</v>
      </c>
      <c r="E23" s="56">
        <v>0</v>
      </c>
      <c r="F23" s="56">
        <v>1370</v>
      </c>
      <c r="G23" s="56">
        <v>1990.3466666666666</v>
      </c>
      <c r="H23" s="56">
        <v>1378.1754598631771</v>
      </c>
      <c r="I23" s="56">
        <v>5524.5712336727</v>
      </c>
      <c r="J23" s="45"/>
      <c r="K23" s="45"/>
      <c r="L23" s="45"/>
      <c r="M23" s="46"/>
      <c r="N23" s="50"/>
      <c r="O23" s="46"/>
      <c r="P23" s="46"/>
      <c r="Q23" s="48"/>
      <c r="R23" s="48"/>
      <c r="S23" s="49"/>
      <c r="T23" s="48"/>
      <c r="U23" s="49"/>
      <c r="V23" s="48"/>
      <c r="W23" s="49"/>
      <c r="X23" s="48"/>
      <c r="Y23" s="49"/>
      <c r="Z23" s="48"/>
      <c r="AA23" s="49"/>
      <c r="AB23" s="48"/>
      <c r="AC23" s="49"/>
      <c r="AD23" s="48"/>
      <c r="AE23" s="49"/>
      <c r="AF23" s="48"/>
      <c r="AG23" s="49"/>
      <c r="AH23" s="48"/>
      <c r="AI23" s="48"/>
      <c r="AJ23" s="48"/>
    </row>
    <row r="24" spans="1:36" ht="64.5">
      <c r="A24" s="21">
        <v>17</v>
      </c>
      <c r="B24" s="43" t="s">
        <v>30</v>
      </c>
      <c r="C24" s="44"/>
      <c r="D24" s="57">
        <f>$I24*J24/100</f>
        <v>70.38900000000001</v>
      </c>
      <c r="E24" s="57">
        <f aca="true" t="shared" si="5" ref="E24:H24">$I24*K24/100</f>
        <v>0</v>
      </c>
      <c r="F24" s="57">
        <f t="shared" si="5"/>
        <v>0</v>
      </c>
      <c r="G24" s="57">
        <f t="shared" si="5"/>
        <v>183.94162500000002</v>
      </c>
      <c r="H24" s="57">
        <f t="shared" si="5"/>
        <v>307.074975</v>
      </c>
      <c r="I24" s="58">
        <f>2.37*236.88</f>
        <v>561.4056</v>
      </c>
      <c r="J24" s="59">
        <v>12.537993920972646</v>
      </c>
      <c r="K24" s="59">
        <v>0</v>
      </c>
      <c r="L24" s="59">
        <v>0</v>
      </c>
      <c r="M24" s="59">
        <v>32.764479905437355</v>
      </c>
      <c r="N24" s="59">
        <v>54.69752617358999</v>
      </c>
      <c r="O24" s="46"/>
      <c r="P24" s="46"/>
      <c r="Q24" s="48"/>
      <c r="R24" s="48"/>
      <c r="S24" s="49"/>
      <c r="T24" s="48"/>
      <c r="U24" s="49"/>
      <c r="V24" s="48"/>
      <c r="W24" s="49"/>
      <c r="X24" s="48"/>
      <c r="Y24" s="49"/>
      <c r="Z24" s="48"/>
      <c r="AA24" s="49"/>
      <c r="AB24" s="48"/>
      <c r="AC24" s="49"/>
      <c r="AD24" s="48"/>
      <c r="AE24" s="49"/>
      <c r="AF24" s="48"/>
      <c r="AG24" s="49"/>
      <c r="AH24" s="48"/>
      <c r="AI24" s="48"/>
      <c r="AJ24" s="48"/>
    </row>
    <row r="25" spans="1:22" ht="15">
      <c r="A25" s="21">
        <v>18</v>
      </c>
      <c r="B25" s="22" t="s">
        <v>31</v>
      </c>
      <c r="C25" s="22"/>
      <c r="D25" s="60">
        <f>'[1]M PS'!G16</f>
        <v>494.7836538461538</v>
      </c>
      <c r="E25" s="24"/>
      <c r="F25" s="24">
        <f>'[1]M PS'!M16</f>
        <v>75</v>
      </c>
      <c r="G25" s="24">
        <f>'[1]M PS'!R16</f>
        <v>813.421</v>
      </c>
      <c r="H25" s="24">
        <f>'[1]M PS'!W16</f>
        <v>495</v>
      </c>
      <c r="I25" s="25">
        <f aca="true" t="shared" si="6" ref="I25:I31">SUM(D25:H25)</f>
        <v>1878.2046538461539</v>
      </c>
      <c r="J25" s="26">
        <f aca="true" t="shared" si="7" ref="J25:O31">D25*100/$I25</f>
        <v>26.34343668742087</v>
      </c>
      <c r="K25" s="26">
        <f t="shared" si="7"/>
        <v>0</v>
      </c>
      <c r="L25" s="26">
        <f t="shared" si="7"/>
        <v>3.9931750699486526</v>
      </c>
      <c r="M25" s="26">
        <f t="shared" si="7"/>
        <v>43.308432780969376</v>
      </c>
      <c r="N25" s="26">
        <f t="shared" si="7"/>
        <v>26.354955461661106</v>
      </c>
      <c r="O25" s="26">
        <f t="shared" si="7"/>
        <v>100</v>
      </c>
      <c r="P25" s="27">
        <v>0.04020166246624271</v>
      </c>
      <c r="Q25" s="32">
        <f aca="true" t="shared" si="8" ref="Q25:V32">J25*$P25/100</f>
        <v>0.010590499499085288</v>
      </c>
      <c r="R25" s="32">
        <f t="shared" si="8"/>
        <v>0</v>
      </c>
      <c r="S25" s="32">
        <f t="shared" si="8"/>
        <v>0.0016053227633069087</v>
      </c>
      <c r="T25" s="32">
        <f t="shared" si="8"/>
        <v>0.01741070996602492</v>
      </c>
      <c r="U25" s="32">
        <f t="shared" si="8"/>
        <v>0.010595130237825596</v>
      </c>
      <c r="V25" s="32">
        <f t="shared" si="8"/>
        <v>0.04020166246624271</v>
      </c>
    </row>
    <row r="26" spans="1:22" ht="15">
      <c r="A26" s="21">
        <v>19</v>
      </c>
      <c r="B26" s="33" t="s">
        <v>32</v>
      </c>
      <c r="C26" s="33"/>
      <c r="D26" s="61">
        <f>'[1]M SA'!G19</f>
        <v>494.7836538461538</v>
      </c>
      <c r="E26" s="30"/>
      <c r="F26" s="30">
        <f>'[1]M SA'!M19</f>
        <v>50</v>
      </c>
      <c r="G26" s="30">
        <f>'[1]M SA'!R19</f>
        <v>497.371</v>
      </c>
      <c r="H26" s="30">
        <f>'[1]M SA'!W19</f>
        <v>495</v>
      </c>
      <c r="I26" s="31">
        <f t="shared" si="6"/>
        <v>1537.154653846154</v>
      </c>
      <c r="J26" s="26">
        <f t="shared" si="7"/>
        <v>32.1882806396964</v>
      </c>
      <c r="K26" s="26">
        <f t="shared" si="7"/>
        <v>0</v>
      </c>
      <c r="L26" s="26">
        <f t="shared" si="7"/>
        <v>3.252763140969175</v>
      </c>
      <c r="M26" s="26">
        <f t="shared" si="7"/>
        <v>32.35660112373959</v>
      </c>
      <c r="N26" s="26">
        <f t="shared" si="7"/>
        <v>32.20235509559483</v>
      </c>
      <c r="O26" s="26">
        <f t="shared" si="7"/>
        <v>100</v>
      </c>
      <c r="P26" s="27">
        <v>0.2810863398728113</v>
      </c>
      <c r="Q26" s="32">
        <f t="shared" si="8"/>
        <v>0.09047685991811134</v>
      </c>
      <c r="R26" s="32">
        <f t="shared" si="8"/>
        <v>0</v>
      </c>
      <c r="S26" s="32">
        <f t="shared" si="8"/>
        <v>0.009143072857682146</v>
      </c>
      <c r="T26" s="32">
        <f t="shared" si="8"/>
        <v>0.09094998580596453</v>
      </c>
      <c r="U26" s="32">
        <f t="shared" si="8"/>
        <v>0.09051642129105325</v>
      </c>
      <c r="V26" s="32">
        <f t="shared" si="8"/>
        <v>0.2810863398728113</v>
      </c>
    </row>
    <row r="27" spans="1:22" ht="15">
      <c r="A27" s="21">
        <v>20</v>
      </c>
      <c r="B27" s="33" t="s">
        <v>33</v>
      </c>
      <c r="C27" s="33"/>
      <c r="D27" s="61">
        <f>'[1]M AH'!G16</f>
        <v>2850.2764423076924</v>
      </c>
      <c r="E27" s="30">
        <f>'[1]M AH'!K16</f>
        <v>179.3428</v>
      </c>
      <c r="F27" s="30">
        <f>'[1]M AH'!M16</f>
        <v>25</v>
      </c>
      <c r="G27" s="30">
        <f>'[1]M AH'!R16</f>
        <v>490.50300000000004</v>
      </c>
      <c r="H27" s="30">
        <f>'[1]M AH'!W16</f>
        <v>4000</v>
      </c>
      <c r="I27" s="31">
        <f t="shared" si="6"/>
        <v>7545.122242307692</v>
      </c>
      <c r="J27" s="26">
        <f t="shared" si="7"/>
        <v>37.776411710407615</v>
      </c>
      <c r="K27" s="26">
        <f t="shared" si="7"/>
        <v>2.3769369698793326</v>
      </c>
      <c r="L27" s="26">
        <f t="shared" si="7"/>
        <v>0.3313398934720731</v>
      </c>
      <c r="M27" s="26">
        <f t="shared" si="7"/>
        <v>6.500928470709291</v>
      </c>
      <c r="N27" s="26">
        <f t="shared" si="7"/>
        <v>53.014382955531694</v>
      </c>
      <c r="O27" s="26">
        <f t="shared" si="7"/>
        <v>100</v>
      </c>
      <c r="P27" s="27">
        <v>0.45287823198449345</v>
      </c>
      <c r="Q27" s="32">
        <f t="shared" si="8"/>
        <v>0.17108114546127717</v>
      </c>
      <c r="R27" s="32">
        <f t="shared" si="8"/>
        <v>0.010764630124575314</v>
      </c>
      <c r="S27" s="32">
        <f t="shared" si="8"/>
        <v>0.0015005662514156288</v>
      </c>
      <c r="T27" s="32">
        <f t="shared" si="8"/>
        <v>0.029441289920724808</v>
      </c>
      <c r="U27" s="32">
        <f t="shared" si="8"/>
        <v>0.24009060022650058</v>
      </c>
      <c r="V27" s="32">
        <f t="shared" si="8"/>
        <v>0.45287823198449345</v>
      </c>
    </row>
    <row r="28" spans="1:22" ht="15">
      <c r="A28" s="21">
        <v>21</v>
      </c>
      <c r="B28" s="33" t="s">
        <v>34</v>
      </c>
      <c r="C28" s="33"/>
      <c r="D28" s="61">
        <f>'[1]M PH'!G19</f>
        <v>1982.0432692307693</v>
      </c>
      <c r="E28" s="30">
        <f>'[1]M PH'!K19</f>
        <v>8799.154</v>
      </c>
      <c r="F28" s="30">
        <f>'[1]M PH'!M19</f>
        <v>195</v>
      </c>
      <c r="G28" s="30">
        <f>'[1]M PH'!R19</f>
        <v>1180.608</v>
      </c>
      <c r="H28" s="30">
        <f>'[1]M PH'!W19</f>
        <v>1095</v>
      </c>
      <c r="I28" s="31">
        <f t="shared" si="6"/>
        <v>13251.80526923077</v>
      </c>
      <c r="J28" s="26">
        <f t="shared" si="7"/>
        <v>14.956779313931326</v>
      </c>
      <c r="K28" s="26">
        <f t="shared" si="7"/>
        <v>66.39966269675472</v>
      </c>
      <c r="L28" s="26">
        <f t="shared" si="7"/>
        <v>1.4714976264612678</v>
      </c>
      <c r="M28" s="26">
        <f t="shared" si="7"/>
        <v>8.909035229647099</v>
      </c>
      <c r="N28" s="26">
        <f t="shared" si="7"/>
        <v>8.26302513320558</v>
      </c>
      <c r="O28" s="26">
        <f t="shared" si="7"/>
        <v>100</v>
      </c>
      <c r="P28" s="27">
        <v>1.1911116778421467</v>
      </c>
      <c r="Q28" s="32">
        <f t="shared" si="8"/>
        <v>0.17815194503731455</v>
      </c>
      <c r="R28" s="32">
        <f t="shared" si="8"/>
        <v>0.7908941364288411</v>
      </c>
      <c r="S28" s="32">
        <f t="shared" si="8"/>
        <v>0.01752718006795017</v>
      </c>
      <c r="T28" s="32">
        <f t="shared" si="8"/>
        <v>0.1061165590033975</v>
      </c>
      <c r="U28" s="32">
        <f t="shared" si="8"/>
        <v>0.09842185730464326</v>
      </c>
      <c r="V28" s="32">
        <f t="shared" si="8"/>
        <v>1.1911116778421467</v>
      </c>
    </row>
    <row r="29" spans="1:22" ht="15">
      <c r="A29" s="21">
        <v>22</v>
      </c>
      <c r="B29" s="33" t="s">
        <v>35</v>
      </c>
      <c r="C29" s="33"/>
      <c r="D29" s="61">
        <f>'[1]M E'!G18</f>
        <v>7643.317307692308</v>
      </c>
      <c r="E29" s="30">
        <f>'[1]M E'!K18</f>
        <v>8799.154</v>
      </c>
      <c r="F29" s="30">
        <f>'[1]M E'!M18</f>
        <v>200</v>
      </c>
      <c r="G29" s="30">
        <f>'[1]M E'!R18</f>
        <v>2283.9600000000005</v>
      </c>
      <c r="H29" s="30">
        <f>'[1]M E'!W18</f>
        <v>945</v>
      </c>
      <c r="I29" s="31">
        <f t="shared" si="6"/>
        <v>19871.431307692306</v>
      </c>
      <c r="J29" s="26">
        <f t="shared" si="7"/>
        <v>38.46384887601705</v>
      </c>
      <c r="K29" s="26">
        <f t="shared" si="7"/>
        <v>44.28042380919896</v>
      </c>
      <c r="L29" s="26">
        <f t="shared" si="7"/>
        <v>1.0064700267593671</v>
      </c>
      <c r="M29" s="26">
        <f t="shared" si="7"/>
        <v>11.493686411586623</v>
      </c>
      <c r="N29" s="26">
        <f t="shared" si="7"/>
        <v>4.75557087643801</v>
      </c>
      <c r="O29" s="26">
        <f t="shared" si="7"/>
        <v>100</v>
      </c>
      <c r="P29" s="27">
        <v>0.4815952774457706</v>
      </c>
      <c r="Q29" s="32">
        <f t="shared" si="8"/>
        <v>0.18524007971077622</v>
      </c>
      <c r="R29" s="32">
        <f t="shared" si="8"/>
        <v>0.21325242989807477</v>
      </c>
      <c r="S29" s="32">
        <f t="shared" si="8"/>
        <v>0.004847112117780296</v>
      </c>
      <c r="T29" s="32">
        <f t="shared" si="8"/>
        <v>0.05535305096262743</v>
      </c>
      <c r="U29" s="32">
        <f t="shared" si="8"/>
        <v>0.022902604756511895</v>
      </c>
      <c r="V29" s="32">
        <f t="shared" si="8"/>
        <v>0.4815952774457706</v>
      </c>
    </row>
    <row r="30" spans="1:22" ht="15">
      <c r="A30" s="21">
        <v>23</v>
      </c>
      <c r="B30" s="33" t="s">
        <v>36</v>
      </c>
      <c r="C30" s="33"/>
      <c r="D30" s="61">
        <f>'[1]M PRM'!G18</f>
        <v>281.21794871794873</v>
      </c>
      <c r="E30" s="30"/>
      <c r="F30" s="30">
        <f>'[1]M PRM'!M18</f>
        <v>50</v>
      </c>
      <c r="G30" s="30">
        <f>'[1]M PRM'!R18</f>
        <v>318.871</v>
      </c>
      <c r="H30" s="30">
        <f>'[1]M PRM'!W18</f>
        <v>345</v>
      </c>
      <c r="I30" s="31">
        <f t="shared" si="6"/>
        <v>995.0889487179487</v>
      </c>
      <c r="J30" s="41">
        <f t="shared" si="7"/>
        <v>28.260584049321814</v>
      </c>
      <c r="K30" s="41">
        <f t="shared" si="7"/>
        <v>0</v>
      </c>
      <c r="L30" s="41">
        <f t="shared" si="7"/>
        <v>5.02467644369068</v>
      </c>
      <c r="M30" s="41">
        <f t="shared" si="7"/>
        <v>32.044472045521815</v>
      </c>
      <c r="N30" s="41">
        <f t="shared" si="7"/>
        <v>34.67026746146569</v>
      </c>
      <c r="O30" s="41">
        <f t="shared" si="7"/>
        <v>100</v>
      </c>
      <c r="P30" s="62"/>
      <c r="Q30" s="32">
        <f t="shared" si="8"/>
        <v>0</v>
      </c>
      <c r="R30" s="32">
        <f t="shared" si="8"/>
        <v>0</v>
      </c>
      <c r="S30" s="32">
        <f t="shared" si="8"/>
        <v>0</v>
      </c>
      <c r="T30" s="32">
        <f t="shared" si="8"/>
        <v>0</v>
      </c>
      <c r="U30" s="32">
        <f t="shared" si="8"/>
        <v>0</v>
      </c>
      <c r="V30" s="32">
        <f t="shared" si="8"/>
        <v>0</v>
      </c>
    </row>
    <row r="31" spans="1:22" ht="15">
      <c r="A31" s="21">
        <v>24</v>
      </c>
      <c r="B31" s="33" t="s">
        <v>28</v>
      </c>
      <c r="C31" s="33"/>
      <c r="D31" s="61">
        <f>'[1]M OL'!G22</f>
        <v>951.5384615384615</v>
      </c>
      <c r="E31" s="30">
        <f>'[1]M OL'!K22</f>
        <v>195.95316666666668</v>
      </c>
      <c r="F31" s="30">
        <f>'[1]M OL'!M22</f>
        <v>75</v>
      </c>
      <c r="G31" s="30">
        <f>'[1]M OL'!R22</f>
        <v>318.871</v>
      </c>
      <c r="H31" s="30">
        <f>'[1]M OL'!W22</f>
        <v>3800</v>
      </c>
      <c r="I31" s="31">
        <f t="shared" si="6"/>
        <v>5341.362628205128</v>
      </c>
      <c r="J31" s="26">
        <f t="shared" si="7"/>
        <v>17.8145265126515</v>
      </c>
      <c r="K31" s="26">
        <f t="shared" si="7"/>
        <v>3.668598825923813</v>
      </c>
      <c r="L31" s="26">
        <f t="shared" si="7"/>
        <v>1.4041360832526446</v>
      </c>
      <c r="M31" s="26">
        <f t="shared" si="7"/>
        <v>5.969843693371386</v>
      </c>
      <c r="N31" s="26">
        <f t="shared" si="7"/>
        <v>71.14289488480065</v>
      </c>
      <c r="O31" s="26">
        <f t="shared" si="7"/>
        <v>100.00000000000001</v>
      </c>
      <c r="P31" s="27">
        <v>0.3185863704252209</v>
      </c>
      <c r="Q31" s="32">
        <f t="shared" si="8"/>
        <v>0.05675465342509509</v>
      </c>
      <c r="R31" s="32">
        <f t="shared" si="8"/>
        <v>0.011687655844972944</v>
      </c>
      <c r="S31" s="32">
        <f t="shared" si="8"/>
        <v>0.004473386183465458</v>
      </c>
      <c r="T31" s="32">
        <f t="shared" si="8"/>
        <v>0.019019108342770853</v>
      </c>
      <c r="U31" s="32">
        <f t="shared" si="8"/>
        <v>0.22665156662891658</v>
      </c>
      <c r="V31" s="32">
        <f t="shared" si="8"/>
        <v>0.318586370425221</v>
      </c>
    </row>
    <row r="32" spans="1:36" ht="15">
      <c r="A32" s="63">
        <v>25</v>
      </c>
      <c r="B32" s="64" t="s">
        <v>37</v>
      </c>
      <c r="C32" s="64"/>
      <c r="D32" s="65">
        <f>1383.5509672619*2.37</f>
        <v>3279.0157924107034</v>
      </c>
      <c r="E32" s="66"/>
      <c r="F32" s="66">
        <f>2964*2.37</f>
        <v>7024.68</v>
      </c>
      <c r="G32" s="67">
        <f>22.47*2.37</f>
        <v>53.2539</v>
      </c>
      <c r="H32" s="67">
        <f>931.682357268434*2.37</f>
        <v>2208.0871867261885</v>
      </c>
      <c r="I32" s="68">
        <f>5301.70332453034*2.37</f>
        <v>12565.036879136907</v>
      </c>
      <c r="J32" s="69"/>
      <c r="K32" s="69"/>
      <c r="L32" s="69"/>
      <c r="M32" s="69"/>
      <c r="N32" s="69"/>
      <c r="O32" s="70"/>
      <c r="P32" s="71"/>
      <c r="Q32" s="72">
        <f t="shared" si="8"/>
        <v>0</v>
      </c>
      <c r="R32" s="72">
        <f t="shared" si="8"/>
        <v>0</v>
      </c>
      <c r="S32" s="72">
        <f t="shared" si="8"/>
        <v>0</v>
      </c>
      <c r="T32" s="72">
        <f t="shared" si="8"/>
        <v>0</v>
      </c>
      <c r="U32" s="72">
        <f t="shared" si="8"/>
        <v>0</v>
      </c>
      <c r="V32" s="72">
        <f t="shared" si="8"/>
        <v>0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22" ht="15">
      <c r="A33" s="6"/>
      <c r="B33" s="7" t="s">
        <v>38</v>
      </c>
      <c r="C33" s="7"/>
      <c r="D33" s="7"/>
      <c r="E33" s="8"/>
      <c r="F33" s="8"/>
      <c r="G33" s="8"/>
      <c r="H33" s="8"/>
      <c r="I33" s="9"/>
      <c r="J33" s="26"/>
      <c r="K33" s="26"/>
      <c r="L33" s="26"/>
      <c r="M33" s="26"/>
      <c r="N33" s="26"/>
      <c r="O33" s="26"/>
      <c r="P33" s="27"/>
      <c r="Q33" s="32"/>
      <c r="R33" s="32"/>
      <c r="S33" s="32"/>
      <c r="T33" s="32"/>
      <c r="U33" s="32"/>
      <c r="V33" s="32"/>
    </row>
    <row r="34" spans="1:36" ht="15">
      <c r="A34" s="73">
        <v>26</v>
      </c>
      <c r="B34" s="74" t="s">
        <v>39</v>
      </c>
      <c r="C34" s="74" t="s">
        <v>40</v>
      </c>
      <c r="D34" s="75">
        <f>262.016369047619*2.37</f>
        <v>620.978794642857</v>
      </c>
      <c r="E34" s="75">
        <f>108.818333333333*2.37</f>
        <v>257.8994499999992</v>
      </c>
      <c r="F34" s="75">
        <f>2.37*25</f>
        <v>59.25</v>
      </c>
      <c r="G34" s="75">
        <f>139.86*2.37</f>
        <v>331.4682</v>
      </c>
      <c r="H34" s="75">
        <f>1026.69035820918*2.37</f>
        <v>2433.2561489557565</v>
      </c>
      <c r="I34" s="66">
        <f>1562.38506059013*2.37</f>
        <v>3702.852593598608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">
      <c r="A35" s="73">
        <v>27</v>
      </c>
      <c r="B35" s="16" t="s">
        <v>41</v>
      </c>
      <c r="C35" s="16" t="s">
        <v>42</v>
      </c>
      <c r="D35" s="76">
        <f>2243.86625744048*2.37</f>
        <v>5317.9630301339375</v>
      </c>
      <c r="E35" s="77">
        <f>708.818333333333*2.37</f>
        <v>1679.8994499999994</v>
      </c>
      <c r="F35" s="77">
        <f>890*2.37</f>
        <v>2109.3</v>
      </c>
      <c r="G35" s="77">
        <f>1353.01*2.37</f>
        <v>3206.6337000000003</v>
      </c>
      <c r="H35" s="77">
        <f>1315.77406101939*2.37</f>
        <v>3118.3845246159544</v>
      </c>
      <c r="I35" s="78">
        <f>6511.4686517932*2.37</f>
        <v>15432.180704749884</v>
      </c>
      <c r="J35" s="70"/>
      <c r="K35" s="70"/>
      <c r="L35" s="70"/>
      <c r="M35" s="70"/>
      <c r="N35" s="70"/>
      <c r="O35" s="70"/>
      <c r="P35" s="71"/>
      <c r="Q35" s="72"/>
      <c r="R35" s="72"/>
      <c r="S35" s="72"/>
      <c r="T35" s="72"/>
      <c r="U35" s="72"/>
      <c r="V35" s="72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ht="15">
      <c r="A36" s="73">
        <v>28</v>
      </c>
      <c r="B36" s="16" t="s">
        <v>43</v>
      </c>
      <c r="C36" s="16" t="s">
        <v>40</v>
      </c>
      <c r="D36" s="79"/>
      <c r="E36" s="80"/>
      <c r="F36" s="80"/>
      <c r="G36" s="80"/>
      <c r="H36" s="80"/>
      <c r="I36" s="81">
        <f>650*2.37</f>
        <v>1540.5</v>
      </c>
      <c r="J36" s="70"/>
      <c r="K36" s="70"/>
      <c r="L36" s="70"/>
      <c r="M36" s="70"/>
      <c r="N36" s="70"/>
      <c r="O36" s="70"/>
      <c r="P36" s="71"/>
      <c r="Q36" s="72"/>
      <c r="R36" s="72"/>
      <c r="S36" s="72"/>
      <c r="T36" s="72"/>
      <c r="U36" s="72"/>
      <c r="V36" s="72"/>
      <c r="W36" s="20"/>
      <c r="X36" s="20" t="s">
        <v>44</v>
      </c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ht="15">
      <c r="A37" s="73">
        <v>29</v>
      </c>
      <c r="B37" s="16" t="s">
        <v>45</v>
      </c>
      <c r="C37" s="16" t="s">
        <v>40</v>
      </c>
      <c r="D37" s="82">
        <f>917.057291666667*2.37</f>
        <v>2173.425781250001</v>
      </c>
      <c r="E37" s="83"/>
      <c r="F37" s="84">
        <f>1555*2.37</f>
        <v>3685.3500000000004</v>
      </c>
      <c r="G37" s="84">
        <f>248.575*2.37</f>
        <v>589.12275</v>
      </c>
      <c r="H37" s="84">
        <f>446.346458415672*2.37</f>
        <v>1057.8411064451427</v>
      </c>
      <c r="I37" s="81">
        <f>SUM(D37:H37)</f>
        <v>7505.739637695144</v>
      </c>
      <c r="J37" s="70"/>
      <c r="K37" s="70"/>
      <c r="L37" s="70"/>
      <c r="M37" s="70"/>
      <c r="N37" s="70"/>
      <c r="O37" s="70"/>
      <c r="P37" s="71"/>
      <c r="Q37" s="72"/>
      <c r="R37" s="72"/>
      <c r="S37" s="72"/>
      <c r="T37" s="72"/>
      <c r="U37" s="72"/>
      <c r="V37" s="72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1:36" ht="15">
      <c r="A38" s="73">
        <v>30</v>
      </c>
      <c r="B38" s="16" t="s">
        <v>46</v>
      </c>
      <c r="C38" s="16" t="s">
        <v>40</v>
      </c>
      <c r="D38" s="79"/>
      <c r="E38" s="80"/>
      <c r="F38" s="80"/>
      <c r="G38" s="80"/>
      <c r="H38" s="80"/>
      <c r="I38" s="85">
        <f>540+4000</f>
        <v>4540</v>
      </c>
      <c r="J38" s="69"/>
      <c r="K38" s="69"/>
      <c r="L38" s="69"/>
      <c r="M38" s="69"/>
      <c r="N38" s="69"/>
      <c r="O38" s="69"/>
      <c r="P38" s="86"/>
      <c r="Q38" s="72"/>
      <c r="R38" s="72"/>
      <c r="S38" s="72"/>
      <c r="T38" s="72"/>
      <c r="U38" s="72"/>
      <c r="V38" s="72"/>
      <c r="W38" s="20"/>
      <c r="X38" s="20" t="s">
        <v>47</v>
      </c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22" ht="15">
      <c r="A39" s="87"/>
      <c r="B39" s="88"/>
      <c r="C39" s="88"/>
      <c r="D39" s="89"/>
      <c r="E39" s="90"/>
      <c r="F39" s="90"/>
      <c r="G39" s="90"/>
      <c r="H39" s="90"/>
      <c r="I39" s="91"/>
      <c r="J39" s="26"/>
      <c r="K39" s="26"/>
      <c r="L39" s="26"/>
      <c r="M39" s="26"/>
      <c r="N39" s="26"/>
      <c r="O39" s="26"/>
      <c r="P39" s="27"/>
      <c r="Q39" s="32"/>
      <c r="R39" s="32"/>
      <c r="S39" s="32"/>
      <c r="T39" s="32"/>
      <c r="U39" s="32"/>
      <c r="V39" s="32"/>
    </row>
    <row r="40" spans="1:22" ht="15">
      <c r="A40" s="92" t="s">
        <v>48</v>
      </c>
      <c r="B40" s="88" t="s">
        <v>49</v>
      </c>
      <c r="C40" s="88"/>
      <c r="D40" s="89"/>
      <c r="E40" s="90"/>
      <c r="F40" s="90"/>
      <c r="G40" s="90"/>
      <c r="H40" s="90"/>
      <c r="I40" s="91"/>
      <c r="J40" s="41"/>
      <c r="K40" s="41"/>
      <c r="L40" s="41"/>
      <c r="M40" s="41"/>
      <c r="N40" s="41"/>
      <c r="O40" s="41"/>
      <c r="P40" s="62"/>
      <c r="Q40" s="32"/>
      <c r="R40" s="32"/>
      <c r="S40" s="32"/>
      <c r="T40" s="32"/>
      <c r="U40" s="32"/>
      <c r="V40" s="32"/>
    </row>
    <row r="41" spans="1:36" ht="15">
      <c r="A41" s="73">
        <v>31</v>
      </c>
      <c r="B41" s="93" t="s">
        <v>50</v>
      </c>
      <c r="C41" s="16"/>
      <c r="D41" s="79">
        <f aca="true" t="shared" si="9" ref="D41:H46">$I41*J41/100</f>
        <v>158.52139999999991</v>
      </c>
      <c r="E41" s="79">
        <f t="shared" si="9"/>
        <v>95.58999999999993</v>
      </c>
      <c r="F41" s="79">
        <f t="shared" si="9"/>
        <v>0</v>
      </c>
      <c r="G41" s="79">
        <f t="shared" si="9"/>
        <v>668.1622499999996</v>
      </c>
      <c r="H41" s="79">
        <f t="shared" si="9"/>
        <v>79.2607</v>
      </c>
      <c r="I41" s="94">
        <f>2.37*422.588333333333</f>
        <v>1001.5343499999993</v>
      </c>
      <c r="J41" s="95">
        <v>15.82785453139975</v>
      </c>
      <c r="K41" s="95">
        <v>9.544355617957585</v>
      </c>
      <c r="L41" s="95">
        <v>0</v>
      </c>
      <c r="M41" s="95">
        <v>66.7138625849428</v>
      </c>
      <c r="N41" s="95">
        <v>7.913927265699878</v>
      </c>
      <c r="O41" s="70"/>
      <c r="P41" s="71"/>
      <c r="Q41" s="72"/>
      <c r="R41" s="72"/>
      <c r="S41" s="72"/>
      <c r="T41" s="72"/>
      <c r="U41" s="72"/>
      <c r="V41" s="72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ht="15">
      <c r="A42" s="73">
        <v>32</v>
      </c>
      <c r="B42" s="93" t="s">
        <v>51</v>
      </c>
      <c r="C42" s="16"/>
      <c r="D42" s="79">
        <f t="shared" si="9"/>
        <v>62.567999999999984</v>
      </c>
      <c r="E42" s="79">
        <f t="shared" si="9"/>
        <v>3.159999999999999</v>
      </c>
      <c r="F42" s="79">
        <f t="shared" si="9"/>
        <v>0</v>
      </c>
      <c r="G42" s="79">
        <f t="shared" si="9"/>
        <v>0</v>
      </c>
      <c r="H42" s="79">
        <f t="shared" si="9"/>
        <v>140.20919999999995</v>
      </c>
      <c r="I42" s="94">
        <f>86.8933333333333*2.37</f>
        <v>205.93719999999993</v>
      </c>
      <c r="J42" s="95">
        <v>30.382077643087314</v>
      </c>
      <c r="K42" s="95">
        <v>1.5344483658124903</v>
      </c>
      <c r="L42" s="95">
        <v>0</v>
      </c>
      <c r="M42" s="95">
        <v>0</v>
      </c>
      <c r="N42" s="95">
        <v>68.08347399110019</v>
      </c>
      <c r="O42" s="70"/>
      <c r="P42" s="71"/>
      <c r="Q42" s="72"/>
      <c r="R42" s="72"/>
      <c r="S42" s="72"/>
      <c r="T42" s="72"/>
      <c r="U42" s="72"/>
      <c r="V42" s="72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ht="15">
      <c r="A43" s="73">
        <v>33</v>
      </c>
      <c r="B43" s="93" t="s">
        <v>52</v>
      </c>
      <c r="C43" s="16"/>
      <c r="D43" s="79">
        <f t="shared" si="9"/>
        <v>46.926</v>
      </c>
      <c r="E43" s="79">
        <f t="shared" si="9"/>
        <v>0</v>
      </c>
      <c r="F43" s="79">
        <f t="shared" si="9"/>
        <v>0</v>
      </c>
      <c r="G43" s="79">
        <f t="shared" si="9"/>
        <v>2.3699999999999997</v>
      </c>
      <c r="H43" s="79">
        <f t="shared" si="9"/>
        <v>140.20919999999998</v>
      </c>
      <c r="I43" s="85">
        <f>'[2]Core Pack OP'!$L$17*2.37</f>
        <v>189.5052</v>
      </c>
      <c r="J43" s="95">
        <v>24.7623811905953</v>
      </c>
      <c r="K43" s="95">
        <v>0</v>
      </c>
      <c r="L43" s="95">
        <v>0</v>
      </c>
      <c r="M43" s="95">
        <v>1.250625312656328</v>
      </c>
      <c r="N43" s="95">
        <v>73.98699349674837</v>
      </c>
      <c r="O43" s="70"/>
      <c r="P43" s="71"/>
      <c r="Q43" s="72"/>
      <c r="R43" s="72"/>
      <c r="S43" s="72"/>
      <c r="T43" s="72"/>
      <c r="U43" s="72"/>
      <c r="V43" s="72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">
      <c r="A44" s="73">
        <v>34</v>
      </c>
      <c r="B44" s="93" t="s">
        <v>53</v>
      </c>
      <c r="C44" s="16"/>
      <c r="D44" s="79">
        <f t="shared" si="9"/>
        <v>46.926</v>
      </c>
      <c r="E44" s="79">
        <f t="shared" si="9"/>
        <v>0</v>
      </c>
      <c r="F44" s="79">
        <f t="shared" si="9"/>
        <v>0</v>
      </c>
      <c r="G44" s="79">
        <f t="shared" si="9"/>
        <v>2.3699999999999997</v>
      </c>
      <c r="H44" s="79">
        <f t="shared" si="9"/>
        <v>140.20919999999998</v>
      </c>
      <c r="I44" s="85">
        <f>'[2]Core Pack OP'!$L$17*2.37</f>
        <v>189.5052</v>
      </c>
      <c r="J44" s="95">
        <v>24.7623811905953</v>
      </c>
      <c r="K44" s="95">
        <v>0</v>
      </c>
      <c r="L44" s="95">
        <v>0</v>
      </c>
      <c r="M44" s="95">
        <v>1.250625312656328</v>
      </c>
      <c r="N44" s="95">
        <v>73.98699349674837</v>
      </c>
      <c r="O44" s="70"/>
      <c r="P44" s="71"/>
      <c r="Q44" s="72"/>
      <c r="R44" s="72"/>
      <c r="S44" s="72"/>
      <c r="T44" s="72"/>
      <c r="U44" s="72"/>
      <c r="V44" s="72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ht="15">
      <c r="A45" s="73">
        <v>35</v>
      </c>
      <c r="B45" s="93" t="s">
        <v>54</v>
      </c>
      <c r="C45" s="16"/>
      <c r="D45" s="79">
        <f t="shared" si="9"/>
        <v>1234.2839130000002</v>
      </c>
      <c r="E45" s="79">
        <f t="shared" si="9"/>
        <v>34.76000000000001</v>
      </c>
      <c r="F45" s="79">
        <f t="shared" si="9"/>
        <v>94.80000000000001</v>
      </c>
      <c r="G45" s="79">
        <f t="shared" si="9"/>
        <v>668.1622500000003</v>
      </c>
      <c r="H45" s="79">
        <f t="shared" si="9"/>
        <v>70.15200000000003</v>
      </c>
      <c r="I45" s="94">
        <f>2.37*886.986566666667</f>
        <v>2102.158163000001</v>
      </c>
      <c r="J45" s="95">
        <v>58.715083133352216</v>
      </c>
      <c r="K45" s="95">
        <v>1.6535387589673</v>
      </c>
      <c r="L45" s="95">
        <v>4.509651160819909</v>
      </c>
      <c r="M45" s="95">
        <v>31.784585087853834</v>
      </c>
      <c r="N45" s="95">
        <v>3.3371418590067337</v>
      </c>
      <c r="O45" s="70"/>
      <c r="P45" s="71"/>
      <c r="Q45" s="72"/>
      <c r="R45" s="72"/>
      <c r="S45" s="72"/>
      <c r="T45" s="72"/>
      <c r="U45" s="72"/>
      <c r="V45" s="72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6" ht="15">
      <c r="A46" s="73">
        <v>36</v>
      </c>
      <c r="B46" s="93" t="s">
        <v>55</v>
      </c>
      <c r="C46" s="16"/>
      <c r="D46" s="79">
        <f t="shared" si="9"/>
        <v>302.017</v>
      </c>
      <c r="E46" s="79">
        <f t="shared" si="9"/>
        <v>23.700000000000003</v>
      </c>
      <c r="F46" s="79">
        <f t="shared" si="9"/>
        <v>0</v>
      </c>
      <c r="G46" s="79">
        <f t="shared" si="9"/>
        <v>78.7788</v>
      </c>
      <c r="H46" s="79">
        <f t="shared" si="9"/>
        <v>70.152</v>
      </c>
      <c r="I46" s="85">
        <f>'[2]Core Pack OP'!$L$15*2.37</f>
        <v>474.6478</v>
      </c>
      <c r="J46" s="95">
        <v>63.629706068373224</v>
      </c>
      <c r="K46" s="95">
        <v>4.993175992809827</v>
      </c>
      <c r="L46" s="95">
        <v>0</v>
      </c>
      <c r="M46" s="95">
        <v>16.597317000099864</v>
      </c>
      <c r="N46" s="95">
        <v>14.779800938717088</v>
      </c>
      <c r="O46" s="70"/>
      <c r="P46" s="71"/>
      <c r="Q46" s="72"/>
      <c r="R46" s="72"/>
      <c r="S46" s="72"/>
      <c r="T46" s="72"/>
      <c r="U46" s="72"/>
      <c r="V46" s="72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22" ht="15.75" thickBot="1">
      <c r="A47" s="87"/>
      <c r="B47" s="88"/>
      <c r="C47" s="88"/>
      <c r="D47" s="89"/>
      <c r="E47" s="90"/>
      <c r="F47" s="90"/>
      <c r="G47" s="90"/>
      <c r="H47" s="90"/>
      <c r="I47" s="91"/>
      <c r="J47" s="41"/>
      <c r="K47" s="41"/>
      <c r="L47" s="41"/>
      <c r="M47" s="41"/>
      <c r="N47" s="41"/>
      <c r="O47" s="41"/>
      <c r="P47" s="62"/>
      <c r="Q47" s="32"/>
      <c r="R47" s="32"/>
      <c r="S47" s="32"/>
      <c r="T47" s="32"/>
      <c r="U47" s="32"/>
      <c r="V47" s="32"/>
    </row>
    <row r="48" spans="1:22" ht="15.75" thickBot="1">
      <c r="A48" s="10" t="s">
        <v>56</v>
      </c>
      <c r="B48" s="96" t="s">
        <v>57</v>
      </c>
      <c r="C48" s="97"/>
      <c r="D48" s="98"/>
      <c r="E48" s="39"/>
      <c r="F48" s="39"/>
      <c r="G48" s="39"/>
      <c r="H48" s="39"/>
      <c r="I48" s="40"/>
      <c r="J48" s="26"/>
      <c r="K48" s="26"/>
      <c r="L48" s="26"/>
      <c r="M48" s="26"/>
      <c r="N48" s="26"/>
      <c r="O48" s="26"/>
      <c r="P48" s="27"/>
      <c r="Q48" s="32">
        <f aca="true" t="shared" si="10" ref="Q48:V57">J48*$P48/100</f>
        <v>0</v>
      </c>
      <c r="R48" s="32">
        <f t="shared" si="10"/>
        <v>0</v>
      </c>
      <c r="S48" s="32">
        <f t="shared" si="10"/>
        <v>0</v>
      </c>
      <c r="T48" s="32">
        <f t="shared" si="10"/>
        <v>0</v>
      </c>
      <c r="U48" s="32">
        <f t="shared" si="10"/>
        <v>0</v>
      </c>
      <c r="V48" s="32">
        <f t="shared" si="10"/>
        <v>0</v>
      </c>
    </row>
    <row r="49" spans="1:22" ht="15.75" thickBot="1">
      <c r="A49" s="10" t="s">
        <v>58</v>
      </c>
      <c r="B49" s="11" t="s">
        <v>59</v>
      </c>
      <c r="C49" s="11"/>
      <c r="D49" s="99"/>
      <c r="E49" s="12"/>
      <c r="F49" s="12"/>
      <c r="G49" s="12"/>
      <c r="H49" s="12"/>
      <c r="I49" s="13"/>
      <c r="J49" s="26"/>
      <c r="K49" s="26"/>
      <c r="L49" s="26"/>
      <c r="M49" s="26"/>
      <c r="N49" s="26"/>
      <c r="O49" s="26"/>
      <c r="P49" s="27"/>
      <c r="Q49" s="32">
        <f t="shared" si="10"/>
        <v>0</v>
      </c>
      <c r="R49" s="32">
        <f t="shared" si="10"/>
        <v>0</v>
      </c>
      <c r="S49" s="32">
        <f t="shared" si="10"/>
        <v>0</v>
      </c>
      <c r="T49" s="32">
        <f t="shared" si="10"/>
        <v>0</v>
      </c>
      <c r="U49" s="32">
        <f t="shared" si="10"/>
        <v>0</v>
      </c>
      <c r="V49" s="32">
        <f t="shared" si="10"/>
        <v>0</v>
      </c>
    </row>
    <row r="50" spans="1:22" ht="15">
      <c r="A50" s="42">
        <v>37</v>
      </c>
      <c r="B50" s="22" t="s">
        <v>60</v>
      </c>
      <c r="C50" s="22"/>
      <c r="D50" s="60">
        <f>'[1]L P'!G15</f>
        <v>84.69551282051282</v>
      </c>
      <c r="E50" s="24"/>
      <c r="F50" s="24"/>
      <c r="G50" s="24">
        <f>'[1]L P'!R15</f>
        <v>8992.32</v>
      </c>
      <c r="H50" s="24">
        <f>'[1]L P'!W15</f>
        <v>270</v>
      </c>
      <c r="I50" s="25">
        <f>SUM(D50:H50)</f>
        <v>9347.015512820513</v>
      </c>
      <c r="J50" s="41">
        <f aca="true" t="shared" si="11" ref="J50:O51">D50*100/$I50</f>
        <v>0.9061235931869709</v>
      </c>
      <c r="K50" s="41">
        <f t="shared" si="11"/>
        <v>0</v>
      </c>
      <c r="L50" s="41">
        <f t="shared" si="11"/>
        <v>0</v>
      </c>
      <c r="M50" s="41">
        <f t="shared" si="11"/>
        <v>96.20525383386807</v>
      </c>
      <c r="N50" s="41">
        <f t="shared" si="11"/>
        <v>2.8886225729449553</v>
      </c>
      <c r="O50" s="41">
        <f t="shared" si="11"/>
        <v>100</v>
      </c>
      <c r="P50" s="62">
        <v>1</v>
      </c>
      <c r="Q50" s="32">
        <f t="shared" si="10"/>
        <v>0.009061235931869709</v>
      </c>
      <c r="R50" s="32">
        <f t="shared" si="10"/>
        <v>0</v>
      </c>
      <c r="S50" s="32">
        <f t="shared" si="10"/>
        <v>0</v>
      </c>
      <c r="T50" s="32">
        <f t="shared" si="10"/>
        <v>0.9620525383386807</v>
      </c>
      <c r="U50" s="32">
        <f t="shared" si="10"/>
        <v>0.028886225729449554</v>
      </c>
      <c r="V50" s="32">
        <f t="shared" si="10"/>
        <v>1</v>
      </c>
    </row>
    <row r="51" spans="1:22" ht="15">
      <c r="A51" s="21">
        <v>38</v>
      </c>
      <c r="B51" s="33" t="s">
        <v>61</v>
      </c>
      <c r="C51" s="33"/>
      <c r="D51" s="61">
        <f>'[1]L M'!G15</f>
        <v>148.3894230769231</v>
      </c>
      <c r="E51" s="30"/>
      <c r="F51" s="30"/>
      <c r="G51" s="30">
        <f>'[1]L M'!R15</f>
        <v>10761.204</v>
      </c>
      <c r="H51" s="30">
        <f>'[1]L M'!W15</f>
        <v>360</v>
      </c>
      <c r="I51" s="31">
        <f>SUM(D51:H51)</f>
        <v>11269.593423076924</v>
      </c>
      <c r="J51" s="41">
        <f t="shared" si="11"/>
        <v>1.3167238382625563</v>
      </c>
      <c r="K51" s="41">
        <f t="shared" si="11"/>
        <v>0</v>
      </c>
      <c r="L51" s="41">
        <f t="shared" si="11"/>
        <v>0</v>
      </c>
      <c r="M51" s="41">
        <f t="shared" si="11"/>
        <v>95.48883971239027</v>
      </c>
      <c r="N51" s="41">
        <f t="shared" si="11"/>
        <v>3.194436449347164</v>
      </c>
      <c r="O51" s="41">
        <f t="shared" si="11"/>
        <v>100</v>
      </c>
      <c r="P51" s="62">
        <v>1</v>
      </c>
      <c r="Q51" s="32">
        <f t="shared" si="10"/>
        <v>0.013167238382625563</v>
      </c>
      <c r="R51" s="32">
        <f t="shared" si="10"/>
        <v>0</v>
      </c>
      <c r="S51" s="32">
        <f t="shared" si="10"/>
        <v>0</v>
      </c>
      <c r="T51" s="32">
        <f t="shared" si="10"/>
        <v>0.9548883971239027</v>
      </c>
      <c r="U51" s="32">
        <f t="shared" si="10"/>
        <v>0.03194436449347164</v>
      </c>
      <c r="V51" s="32">
        <f t="shared" si="10"/>
        <v>1</v>
      </c>
    </row>
    <row r="52" spans="1:22" ht="15.75" thickBot="1">
      <c r="A52" s="36"/>
      <c r="B52" s="97"/>
      <c r="C52" s="97"/>
      <c r="D52" s="98"/>
      <c r="E52" s="39"/>
      <c r="F52" s="39"/>
      <c r="G52" s="39"/>
      <c r="H52" s="39"/>
      <c r="I52" s="40"/>
      <c r="J52" s="26"/>
      <c r="K52" s="26"/>
      <c r="L52" s="26"/>
      <c r="M52" s="26"/>
      <c r="N52" s="26"/>
      <c r="O52" s="26"/>
      <c r="P52" s="27"/>
      <c r="Q52" s="32">
        <f t="shared" si="10"/>
        <v>0</v>
      </c>
      <c r="R52" s="32">
        <f t="shared" si="10"/>
        <v>0</v>
      </c>
      <c r="S52" s="32">
        <f t="shared" si="10"/>
        <v>0</v>
      </c>
      <c r="T52" s="32">
        <f t="shared" si="10"/>
        <v>0</v>
      </c>
      <c r="U52" s="32">
        <f t="shared" si="10"/>
        <v>0</v>
      </c>
      <c r="V52" s="32">
        <f t="shared" si="10"/>
        <v>0</v>
      </c>
    </row>
    <row r="53" spans="1:22" ht="15.75" thickBot="1">
      <c r="A53" s="10" t="s">
        <v>62</v>
      </c>
      <c r="B53" s="11" t="s">
        <v>63</v>
      </c>
      <c r="C53" s="11"/>
      <c r="D53" s="99"/>
      <c r="E53" s="12"/>
      <c r="F53" s="12"/>
      <c r="G53" s="12"/>
      <c r="H53" s="12"/>
      <c r="I53" s="13"/>
      <c r="J53" s="26"/>
      <c r="K53" s="26"/>
      <c r="L53" s="26"/>
      <c r="M53" s="26"/>
      <c r="N53" s="26"/>
      <c r="O53" s="26"/>
      <c r="P53" s="27"/>
      <c r="Q53" s="32">
        <f t="shared" si="10"/>
        <v>0</v>
      </c>
      <c r="R53" s="32">
        <f t="shared" si="10"/>
        <v>0</v>
      </c>
      <c r="S53" s="32">
        <f t="shared" si="10"/>
        <v>0</v>
      </c>
      <c r="T53" s="32">
        <f t="shared" si="10"/>
        <v>0</v>
      </c>
      <c r="U53" s="32">
        <f t="shared" si="10"/>
        <v>0</v>
      </c>
      <c r="V53" s="32">
        <f t="shared" si="10"/>
        <v>0</v>
      </c>
    </row>
    <row r="54" spans="1:22" ht="15">
      <c r="A54" s="42">
        <v>39</v>
      </c>
      <c r="B54" s="22" t="s">
        <v>64</v>
      </c>
      <c r="C54" s="22"/>
      <c r="D54" s="60">
        <f>'[1]T NSP'!G15</f>
        <v>326.6185897435898</v>
      </c>
      <c r="E54" s="24"/>
      <c r="F54" s="24">
        <f>'[1]T NSP'!M15</f>
        <v>50</v>
      </c>
      <c r="G54" s="24">
        <f>'[1]T NSP'!R15</f>
        <v>28803.816000000003</v>
      </c>
      <c r="H54" s="24">
        <f>'[1]T NSP'!W15</f>
        <v>360</v>
      </c>
      <c r="I54" s="25">
        <f>SUM(D54:H54)</f>
        <v>29540.434589743592</v>
      </c>
      <c r="J54" s="26">
        <f aca="true" t="shared" si="12" ref="J54:O57">D54*100/$I54</f>
        <v>1.1056661632763907</v>
      </c>
      <c r="K54" s="26">
        <f t="shared" si="12"/>
        <v>0</v>
      </c>
      <c r="L54" s="26">
        <f t="shared" si="12"/>
        <v>0.16925952747276082</v>
      </c>
      <c r="M54" s="26">
        <f t="shared" si="12"/>
        <v>97.50640571144696</v>
      </c>
      <c r="N54" s="26">
        <f t="shared" si="12"/>
        <v>1.218668597803878</v>
      </c>
      <c r="O54" s="26">
        <f t="shared" si="12"/>
        <v>100</v>
      </c>
      <c r="P54" s="27">
        <v>103.06032026858904</v>
      </c>
      <c r="Q54" s="32">
        <f t="shared" si="10"/>
        <v>1.139503088974069</v>
      </c>
      <c r="R54" s="32">
        <f t="shared" si="10"/>
        <v>0</v>
      </c>
      <c r="S54" s="32">
        <f t="shared" si="10"/>
        <v>0.17443941109852776</v>
      </c>
      <c r="T54" s="32">
        <f t="shared" si="10"/>
        <v>100.49041400860702</v>
      </c>
      <c r="U54" s="32">
        <f t="shared" si="10"/>
        <v>1.2559637599093998</v>
      </c>
      <c r="V54" s="32">
        <f t="shared" si="10"/>
        <v>103.06032026858904</v>
      </c>
    </row>
    <row r="55" spans="1:22" ht="15">
      <c r="A55" s="21">
        <v>40</v>
      </c>
      <c r="B55" s="33" t="s">
        <v>65</v>
      </c>
      <c r="C55" s="33"/>
      <c r="D55" s="61">
        <f>'[1]T NSN'!G15</f>
        <v>326.6185897435898</v>
      </c>
      <c r="E55" s="30"/>
      <c r="F55" s="30"/>
      <c r="G55" s="30">
        <f>'[1]T NSN'!R15</f>
        <v>23332.2</v>
      </c>
      <c r="H55" s="30">
        <f>'[1]T NSN'!W15</f>
        <v>360</v>
      </c>
      <c r="I55" s="31">
        <f>SUM(D55:H55)</f>
        <v>24018.81858974359</v>
      </c>
      <c r="J55" s="26">
        <f t="shared" si="12"/>
        <v>1.3598445257547387</v>
      </c>
      <c r="K55" s="26">
        <f t="shared" si="12"/>
        <v>0</v>
      </c>
      <c r="L55" s="26">
        <f t="shared" si="12"/>
        <v>0</v>
      </c>
      <c r="M55" s="26">
        <f t="shared" si="12"/>
        <v>97.14133071458899</v>
      </c>
      <c r="N55" s="26">
        <f t="shared" si="12"/>
        <v>1.4988247596562705</v>
      </c>
      <c r="O55" s="26">
        <f t="shared" si="12"/>
        <v>100</v>
      </c>
      <c r="P55" s="27">
        <v>83.79657140154487</v>
      </c>
      <c r="Q55" s="32">
        <f t="shared" si="10"/>
        <v>1.139503088974069</v>
      </c>
      <c r="R55" s="32">
        <f t="shared" si="10"/>
        <v>0</v>
      </c>
      <c r="S55" s="32">
        <f t="shared" si="10"/>
        <v>0</v>
      </c>
      <c r="T55" s="32">
        <f t="shared" si="10"/>
        <v>81.4011045526614</v>
      </c>
      <c r="U55" s="32">
        <f t="shared" si="10"/>
        <v>1.2559637599093998</v>
      </c>
      <c r="V55" s="32">
        <f t="shared" si="10"/>
        <v>83.79657140154487</v>
      </c>
    </row>
    <row r="56" spans="1:22" ht="15">
      <c r="A56" s="21">
        <v>41</v>
      </c>
      <c r="B56" s="33" t="s">
        <v>66</v>
      </c>
      <c r="C56" s="33"/>
      <c r="D56" s="61">
        <f>'[1]T TD'!G15</f>
        <v>404.88782051282055</v>
      </c>
      <c r="E56" s="30"/>
      <c r="F56" s="30"/>
      <c r="G56" s="30">
        <f>'[1]T TD'!R15</f>
        <v>52537.664000000004</v>
      </c>
      <c r="H56" s="30">
        <f>'[1]T TD'!W15</f>
        <v>540</v>
      </c>
      <c r="I56" s="31">
        <f>SUM(D56:H56)</f>
        <v>53482.551820512825</v>
      </c>
      <c r="J56" s="26">
        <f t="shared" si="12"/>
        <v>0.7570465632822122</v>
      </c>
      <c r="K56" s="26">
        <f t="shared" si="12"/>
        <v>0</v>
      </c>
      <c r="L56" s="26">
        <f t="shared" si="12"/>
        <v>0</v>
      </c>
      <c r="M56" s="26">
        <f t="shared" si="12"/>
        <v>98.23327835275352</v>
      </c>
      <c r="N56" s="26">
        <f t="shared" si="12"/>
        <v>1.0096750839642754</v>
      </c>
      <c r="O56" s="26">
        <f t="shared" si="12"/>
        <v>100</v>
      </c>
      <c r="P56" s="27">
        <v>93.2946484361675</v>
      </c>
      <c r="Q56" s="32">
        <f t="shared" si="10"/>
        <v>0.7062839297122282</v>
      </c>
      <c r="R56" s="32">
        <f t="shared" si="10"/>
        <v>0</v>
      </c>
      <c r="S56" s="32">
        <f t="shared" si="10"/>
        <v>0</v>
      </c>
      <c r="T56" s="32">
        <f t="shared" si="10"/>
        <v>91.64639168652324</v>
      </c>
      <c r="U56" s="32">
        <f t="shared" si="10"/>
        <v>0.9419728199320498</v>
      </c>
      <c r="V56" s="32">
        <f t="shared" si="10"/>
        <v>93.2946484361675</v>
      </c>
    </row>
    <row r="57" spans="1:22" ht="15">
      <c r="A57" s="21">
        <v>42</v>
      </c>
      <c r="B57" s="33" t="s">
        <v>67</v>
      </c>
      <c r="C57" s="33"/>
      <c r="D57" s="61">
        <f>'[1]T E'!G15</f>
        <v>326.6185897435898</v>
      </c>
      <c r="E57" s="30"/>
      <c r="F57" s="30"/>
      <c r="G57" s="30">
        <f>'[1]T E'!R15</f>
        <v>23332.2</v>
      </c>
      <c r="H57" s="30">
        <f>'[1]T E'!W15</f>
        <v>360</v>
      </c>
      <c r="I57" s="31">
        <f>SUM(D57:H57)</f>
        <v>24018.81858974359</v>
      </c>
      <c r="J57" s="26">
        <f t="shared" si="12"/>
        <v>1.3598445257547387</v>
      </c>
      <c r="K57" s="26">
        <f t="shared" si="12"/>
        <v>0</v>
      </c>
      <c r="L57" s="26">
        <f t="shared" si="12"/>
        <v>0</v>
      </c>
      <c r="M57" s="26">
        <f t="shared" si="12"/>
        <v>97.14133071458899</v>
      </c>
      <c r="N57" s="26">
        <f t="shared" si="12"/>
        <v>1.4988247596562705</v>
      </c>
      <c r="O57" s="26">
        <f t="shared" si="12"/>
        <v>100</v>
      </c>
      <c r="P57" s="27">
        <v>16.75931428030897</v>
      </c>
      <c r="Q57" s="32">
        <f t="shared" si="10"/>
        <v>0.22790061779481374</v>
      </c>
      <c r="R57" s="32">
        <f t="shared" si="10"/>
        <v>0</v>
      </c>
      <c r="S57" s="32">
        <f t="shared" si="10"/>
        <v>0</v>
      </c>
      <c r="T57" s="32">
        <f t="shared" si="10"/>
        <v>16.280220910532275</v>
      </c>
      <c r="U57" s="32">
        <f t="shared" si="10"/>
        <v>0.25119275198187996</v>
      </c>
      <c r="V57" s="32">
        <f t="shared" si="10"/>
        <v>16.75931428030897</v>
      </c>
    </row>
    <row r="58" spans="1:36" ht="15">
      <c r="A58" s="251">
        <v>43</v>
      </c>
      <c r="B58" s="249" t="s">
        <v>68</v>
      </c>
      <c r="C58" s="252"/>
      <c r="D58" s="253"/>
      <c r="E58" s="254"/>
      <c r="F58" s="254"/>
      <c r="G58" s="254"/>
      <c r="H58" s="254"/>
      <c r="I58" s="255"/>
      <c r="J58" s="246"/>
      <c r="K58" s="246"/>
      <c r="L58" s="246"/>
      <c r="M58" s="246"/>
      <c r="N58" s="246"/>
      <c r="O58" s="246"/>
      <c r="P58" s="247"/>
      <c r="Q58" s="244"/>
      <c r="R58" s="244"/>
      <c r="S58" s="244"/>
      <c r="T58" s="244"/>
      <c r="U58" s="244"/>
      <c r="V58" s="244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</row>
    <row r="59" spans="1:36" ht="15">
      <c r="A59" s="251">
        <v>44</v>
      </c>
      <c r="B59" s="249" t="s">
        <v>69</v>
      </c>
      <c r="C59" s="256"/>
      <c r="D59" s="257"/>
      <c r="E59" s="258"/>
      <c r="F59" s="258"/>
      <c r="G59" s="258"/>
      <c r="H59" s="258"/>
      <c r="I59" s="259"/>
      <c r="J59" s="246"/>
      <c r="K59" s="246"/>
      <c r="L59" s="246"/>
      <c r="M59" s="246"/>
      <c r="N59" s="246"/>
      <c r="O59" s="246"/>
      <c r="P59" s="247"/>
      <c r="Q59" s="244">
        <f aca="true" t="shared" si="13" ref="Q59:V59">J59*$P59/100</f>
        <v>0</v>
      </c>
      <c r="R59" s="244">
        <f t="shared" si="13"/>
        <v>0</v>
      </c>
      <c r="S59" s="244">
        <f t="shared" si="13"/>
        <v>0</v>
      </c>
      <c r="T59" s="244">
        <f t="shared" si="13"/>
        <v>0</v>
      </c>
      <c r="U59" s="244">
        <f t="shared" si="13"/>
        <v>0</v>
      </c>
      <c r="V59" s="244">
        <f t="shared" si="13"/>
        <v>0</v>
      </c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</row>
    <row r="60" spans="1:22" ht="15.75" thickBot="1">
      <c r="A60" s="6"/>
      <c r="B60" s="101"/>
      <c r="C60" s="7"/>
      <c r="D60" s="102"/>
      <c r="E60" s="8"/>
      <c r="F60" s="8"/>
      <c r="G60" s="8"/>
      <c r="H60" s="8"/>
      <c r="I60" s="9"/>
      <c r="J60" s="26"/>
      <c r="K60" s="26"/>
      <c r="L60" s="26"/>
      <c r="M60" s="26"/>
      <c r="N60" s="26"/>
      <c r="O60" s="26"/>
      <c r="P60" s="27"/>
      <c r="Q60" s="32"/>
      <c r="R60" s="32"/>
      <c r="S60" s="32"/>
      <c r="T60" s="32"/>
      <c r="U60" s="32"/>
      <c r="V60" s="32"/>
    </row>
    <row r="61" spans="1:22" ht="15.75" thickBot="1">
      <c r="A61" s="10" t="s">
        <v>70</v>
      </c>
      <c r="B61" s="11" t="s">
        <v>71</v>
      </c>
      <c r="C61" s="11"/>
      <c r="D61" s="99"/>
      <c r="E61" s="12"/>
      <c r="F61" s="12"/>
      <c r="G61" s="12"/>
      <c r="H61" s="12"/>
      <c r="I61" s="13"/>
      <c r="J61" s="26"/>
      <c r="K61" s="26"/>
      <c r="L61" s="26"/>
      <c r="M61" s="26"/>
      <c r="N61" s="26"/>
      <c r="O61" s="26"/>
      <c r="P61" s="27"/>
      <c r="Q61" s="32">
        <f aca="true" t="shared" si="14" ref="Q61:V74">J61*$P61/100</f>
        <v>0</v>
      </c>
      <c r="R61" s="32">
        <f t="shared" si="14"/>
        <v>0</v>
      </c>
      <c r="S61" s="32">
        <f t="shared" si="14"/>
        <v>0</v>
      </c>
      <c r="T61" s="32">
        <f t="shared" si="14"/>
        <v>0</v>
      </c>
      <c r="U61" s="32">
        <f t="shared" si="14"/>
        <v>0</v>
      </c>
      <c r="V61" s="32">
        <f t="shared" si="14"/>
        <v>0</v>
      </c>
    </row>
    <row r="62" spans="1:22" ht="15">
      <c r="A62" s="21">
        <v>45</v>
      </c>
      <c r="B62" s="33" t="s">
        <v>72</v>
      </c>
      <c r="C62" s="33"/>
      <c r="D62" s="61">
        <f>'[1]VBD M'!G14</f>
        <v>25.82932692307692</v>
      </c>
      <c r="E62" s="30"/>
      <c r="F62" s="30">
        <f>'[1]VBD M'!M14</f>
        <v>20</v>
      </c>
      <c r="G62" s="30">
        <f>'[1]VBD M'!R14</f>
        <v>8.84</v>
      </c>
      <c r="H62" s="30">
        <f>'[1]VBD M'!W14</f>
        <v>135</v>
      </c>
      <c r="I62" s="31">
        <f>SUM(D62:H62)</f>
        <v>189.66932692307694</v>
      </c>
      <c r="J62" s="41">
        <f aca="true" t="shared" si="15" ref="J62:O64">D62*100/$I62</f>
        <v>13.618083293748581</v>
      </c>
      <c r="K62" s="41">
        <f t="shared" si="15"/>
        <v>0</v>
      </c>
      <c r="L62" s="41">
        <f t="shared" si="15"/>
        <v>10.54466756668108</v>
      </c>
      <c r="M62" s="41">
        <f t="shared" si="15"/>
        <v>4.660743064473038</v>
      </c>
      <c r="N62" s="41">
        <f t="shared" si="15"/>
        <v>71.1765060750973</v>
      </c>
      <c r="O62" s="41">
        <f t="shared" si="15"/>
        <v>100.00000000000001</v>
      </c>
      <c r="P62" s="62">
        <v>5.768418238025235</v>
      </c>
      <c r="Q62" s="32">
        <f t="shared" si="14"/>
        <v>0.7855480003860608</v>
      </c>
      <c r="R62" s="32">
        <f t="shared" si="14"/>
        <v>0</v>
      </c>
      <c r="S62" s="32">
        <f t="shared" si="14"/>
        <v>0.6082605270555631</v>
      </c>
      <c r="T62" s="32">
        <f t="shared" si="14"/>
        <v>0.26885115295855894</v>
      </c>
      <c r="U62" s="32">
        <f t="shared" si="14"/>
        <v>4.105758557625051</v>
      </c>
      <c r="V62" s="32">
        <f t="shared" si="14"/>
        <v>5.768418238025236</v>
      </c>
    </row>
    <row r="63" spans="1:22" ht="15">
      <c r="A63" s="21">
        <v>46</v>
      </c>
      <c r="B63" s="22" t="s">
        <v>73</v>
      </c>
      <c r="C63" s="22"/>
      <c r="D63" s="61">
        <f>'[1]VBD M'!G22</f>
        <v>401.9230769230769</v>
      </c>
      <c r="E63" s="30"/>
      <c r="F63" s="30">
        <f>'[1]VBD M'!M22</f>
        <v>30</v>
      </c>
      <c r="G63" s="30">
        <f>'[1]VBD M'!R22</f>
        <v>316.75</v>
      </c>
      <c r="H63" s="30">
        <f>'[1]VBD M'!W22</f>
        <v>495</v>
      </c>
      <c r="I63" s="31">
        <f>SUM(D63:H63)</f>
        <v>1243.673076923077</v>
      </c>
      <c r="J63" s="26">
        <f t="shared" si="15"/>
        <v>32.31742202842077</v>
      </c>
      <c r="K63" s="26">
        <f t="shared" si="15"/>
        <v>0</v>
      </c>
      <c r="L63" s="26">
        <f t="shared" si="15"/>
        <v>2.412209491116575</v>
      </c>
      <c r="M63" s="26">
        <f t="shared" si="15"/>
        <v>25.46891187703917</v>
      </c>
      <c r="N63" s="26">
        <f t="shared" si="15"/>
        <v>39.80145660342348</v>
      </c>
      <c r="O63" s="26">
        <f t="shared" si="15"/>
        <v>100</v>
      </c>
      <c r="P63" s="27">
        <v>1.5187196643435839</v>
      </c>
      <c r="Q63" s="32">
        <f t="shared" si="14"/>
        <v>0.4908110433545314</v>
      </c>
      <c r="R63" s="32">
        <f t="shared" si="14"/>
        <v>0</v>
      </c>
      <c r="S63" s="32">
        <f t="shared" si="14"/>
        <v>0.036634699886749715</v>
      </c>
      <c r="T63" s="32">
        <f t="shared" si="14"/>
        <v>0.38680137297093237</v>
      </c>
      <c r="U63" s="32">
        <f t="shared" si="14"/>
        <v>0.6044725481313703</v>
      </c>
      <c r="V63" s="32">
        <f t="shared" si="14"/>
        <v>1.518719664343584</v>
      </c>
    </row>
    <row r="64" spans="1:22" ht="15">
      <c r="A64" s="21">
        <v>47</v>
      </c>
      <c r="B64" s="33" t="s">
        <v>74</v>
      </c>
      <c r="C64" s="33"/>
      <c r="D64" s="61">
        <f>'[1]VBD MV'!G14</f>
        <v>25.82932692307692</v>
      </c>
      <c r="E64" s="30"/>
      <c r="F64" s="30">
        <f>'[1]VBD MV'!M14</f>
        <v>20</v>
      </c>
      <c r="G64" s="30">
        <f>'[1]VBD MV'!R14</f>
        <v>7.4</v>
      </c>
      <c r="H64" s="30">
        <f>'[1]VBD MV'!W14</f>
        <v>135</v>
      </c>
      <c r="I64" s="31">
        <f>SUM(D64:H64)</f>
        <v>188.2293269230769</v>
      </c>
      <c r="J64" s="41">
        <f t="shared" si="15"/>
        <v>13.722264933578872</v>
      </c>
      <c r="K64" s="41">
        <f t="shared" si="15"/>
        <v>0</v>
      </c>
      <c r="L64" s="41">
        <f t="shared" si="15"/>
        <v>10.625336830840041</v>
      </c>
      <c r="M64" s="41">
        <f t="shared" si="15"/>
        <v>3.9313746274108152</v>
      </c>
      <c r="N64" s="41">
        <f t="shared" si="15"/>
        <v>71.72102360817027</v>
      </c>
      <c r="O64" s="41">
        <f t="shared" si="15"/>
        <v>100</v>
      </c>
      <c r="P64" s="62"/>
      <c r="Q64" s="32">
        <f t="shared" si="14"/>
        <v>0</v>
      </c>
      <c r="R64" s="32">
        <f t="shared" si="14"/>
        <v>0</v>
      </c>
      <c r="S64" s="32">
        <f t="shared" si="14"/>
        <v>0</v>
      </c>
      <c r="T64" s="32">
        <f t="shared" si="14"/>
        <v>0</v>
      </c>
      <c r="U64" s="32">
        <f t="shared" si="14"/>
        <v>0</v>
      </c>
      <c r="V64" s="32">
        <f t="shared" si="14"/>
        <v>0</v>
      </c>
    </row>
    <row r="65" spans="1:22" ht="15">
      <c r="A65" s="21">
        <v>48</v>
      </c>
      <c r="B65" s="33" t="s">
        <v>75</v>
      </c>
      <c r="C65" s="33"/>
      <c r="D65" s="61"/>
      <c r="E65" s="30"/>
      <c r="F65" s="30"/>
      <c r="G65" s="30"/>
      <c r="H65" s="30"/>
      <c r="I65" s="31"/>
      <c r="J65" s="26"/>
      <c r="K65" s="26"/>
      <c r="L65" s="26"/>
      <c r="M65" s="26"/>
      <c r="N65" s="26"/>
      <c r="O65" s="26"/>
      <c r="P65" s="27"/>
      <c r="Q65" s="32">
        <f t="shared" si="14"/>
        <v>0</v>
      </c>
      <c r="R65" s="32">
        <f t="shared" si="14"/>
        <v>0</v>
      </c>
      <c r="S65" s="32">
        <f t="shared" si="14"/>
        <v>0</v>
      </c>
      <c r="T65" s="32">
        <f t="shared" si="14"/>
        <v>0</v>
      </c>
      <c r="U65" s="32">
        <f t="shared" si="14"/>
        <v>0</v>
      </c>
      <c r="V65" s="32">
        <f t="shared" si="14"/>
        <v>0</v>
      </c>
    </row>
    <row r="66" spans="1:22" ht="15">
      <c r="A66" s="21">
        <v>49</v>
      </c>
      <c r="B66" s="33" t="s">
        <v>76</v>
      </c>
      <c r="C66" s="33"/>
      <c r="D66" s="61">
        <f>'[1]VBD D'!G13</f>
        <v>21.001602564102562</v>
      </c>
      <c r="E66" s="30"/>
      <c r="F66" s="30">
        <f>'[1]VBD D'!M13</f>
        <v>250</v>
      </c>
      <c r="G66" s="30">
        <f>'[1]VBD D'!R13</f>
        <v>4.986</v>
      </c>
      <c r="H66" s="30">
        <f>'[1]VBD D'!W13</f>
        <v>150</v>
      </c>
      <c r="I66" s="31">
        <f>SUM(D66:H66)</f>
        <v>425.98760256410253</v>
      </c>
      <c r="J66" s="26">
        <f aca="true" t="shared" si="16" ref="J66:O70">D66*100/$I66</f>
        <v>4.930097129045498</v>
      </c>
      <c r="K66" s="26">
        <f t="shared" si="16"/>
        <v>0</v>
      </c>
      <c r="L66" s="26">
        <f t="shared" si="16"/>
        <v>58.68715392072473</v>
      </c>
      <c r="M66" s="26">
        <f t="shared" si="16"/>
        <v>1.170456597794934</v>
      </c>
      <c r="N66" s="26">
        <f t="shared" si="16"/>
        <v>35.212292352434844</v>
      </c>
      <c r="O66" s="26">
        <f t="shared" si="16"/>
        <v>100.00000000000001</v>
      </c>
      <c r="P66" s="27">
        <v>0.0035217548116851056</v>
      </c>
      <c r="Q66" s="32">
        <f t="shared" si="14"/>
        <v>0.00017362593286290908</v>
      </c>
      <c r="R66" s="32">
        <f t="shared" si="14"/>
        <v>0</v>
      </c>
      <c r="S66" s="32">
        <f t="shared" si="14"/>
        <v>0.002066817667044167</v>
      </c>
      <c r="T66" s="32">
        <f t="shared" si="14"/>
        <v>4.122061155152887E-05</v>
      </c>
      <c r="U66" s="32">
        <f t="shared" si="14"/>
        <v>0.0012400906002265006</v>
      </c>
      <c r="V66" s="32">
        <f t="shared" si="14"/>
        <v>0.003521754811685106</v>
      </c>
    </row>
    <row r="67" spans="1:22" ht="15">
      <c r="A67" s="21">
        <v>50</v>
      </c>
      <c r="B67" s="33" t="s">
        <v>77</v>
      </c>
      <c r="C67" s="33"/>
      <c r="D67" s="61">
        <f>'[1]VBD D'!G21</f>
        <v>401.9230769230769</v>
      </c>
      <c r="E67" s="30"/>
      <c r="F67" s="30">
        <f>'[1]VBD D'!M21</f>
        <v>250</v>
      </c>
      <c r="G67" s="30">
        <f>'[1]VBD D'!R21</f>
        <v>75.96600000000001</v>
      </c>
      <c r="H67" s="30">
        <f>'[1]VBD D'!W21</f>
        <v>1800</v>
      </c>
      <c r="I67" s="31">
        <f>SUM(D67:H67)</f>
        <v>2527.889076923077</v>
      </c>
      <c r="J67" s="26">
        <f t="shared" si="16"/>
        <v>15.899553528365015</v>
      </c>
      <c r="K67" s="26">
        <f t="shared" si="16"/>
        <v>0</v>
      </c>
      <c r="L67" s="26">
        <f t="shared" si="16"/>
        <v>9.889674443480631</v>
      </c>
      <c r="M67" s="26">
        <f t="shared" si="16"/>
        <v>3.0051160350937987</v>
      </c>
      <c r="N67" s="26">
        <f t="shared" si="16"/>
        <v>71.20565599306055</v>
      </c>
      <c r="O67" s="26">
        <f t="shared" si="16"/>
        <v>100</v>
      </c>
      <c r="P67" s="27">
        <v>0.002089874321805036</v>
      </c>
      <c r="Q67" s="32">
        <f t="shared" si="14"/>
        <v>0.00033228068647094705</v>
      </c>
      <c r="R67" s="32">
        <f t="shared" si="14"/>
        <v>0</v>
      </c>
      <c r="S67" s="32">
        <f t="shared" si="14"/>
        <v>0.00020668176670441681</v>
      </c>
      <c r="T67" s="32">
        <f t="shared" si="14"/>
        <v>6.280314835787091E-05</v>
      </c>
      <c r="U67" s="32">
        <f t="shared" si="14"/>
        <v>0.0014881087202718011</v>
      </c>
      <c r="V67" s="32">
        <f t="shared" si="14"/>
        <v>0.002089874321805036</v>
      </c>
    </row>
    <row r="68" spans="1:22" ht="15">
      <c r="A68" s="21">
        <v>51</v>
      </c>
      <c r="B68" s="33" t="s">
        <v>78</v>
      </c>
      <c r="C68" s="33"/>
      <c r="D68" s="61">
        <f>'[1]VBD KA'!G14</f>
        <v>420.03205128205127</v>
      </c>
      <c r="E68" s="30"/>
      <c r="F68" s="61">
        <f>'[1]VBD KA'!M14</f>
        <v>250</v>
      </c>
      <c r="G68" s="61">
        <f>'[1]VBD KA'!R14</f>
        <v>0</v>
      </c>
      <c r="H68" s="30">
        <f>'[1]VBD KA'!W14</f>
        <v>900</v>
      </c>
      <c r="I68" s="31">
        <f>SUM(D68:H68)</f>
        <v>1570.0320512820513</v>
      </c>
      <c r="J68" s="26">
        <f t="shared" si="16"/>
        <v>26.75308767990201</v>
      </c>
      <c r="K68" s="26">
        <f t="shared" si="16"/>
        <v>0</v>
      </c>
      <c r="L68" s="26">
        <f t="shared" si="16"/>
        <v>15.923241808716954</v>
      </c>
      <c r="M68" s="26">
        <f t="shared" si="16"/>
        <v>0</v>
      </c>
      <c r="N68" s="26">
        <f t="shared" si="16"/>
        <v>57.32367051138104</v>
      </c>
      <c r="O68" s="26">
        <f t="shared" si="16"/>
        <v>100</v>
      </c>
      <c r="P68" s="27">
        <v>0.05446808060129125</v>
      </c>
      <c r="Q68" s="32">
        <f t="shared" si="14"/>
        <v>0.014571893360823145</v>
      </c>
      <c r="R68" s="32">
        <f t="shared" si="14"/>
        <v>0</v>
      </c>
      <c r="S68" s="32">
        <f t="shared" si="14"/>
        <v>0.008673084182710457</v>
      </c>
      <c r="T68" s="32">
        <f t="shared" si="14"/>
        <v>0</v>
      </c>
      <c r="U68" s="32">
        <f t="shared" si="14"/>
        <v>0.031223103057757648</v>
      </c>
      <c r="V68" s="32">
        <f t="shared" si="14"/>
        <v>0.05446808060129125</v>
      </c>
    </row>
    <row r="69" spans="1:22" ht="15">
      <c r="A69" s="21">
        <v>52</v>
      </c>
      <c r="B69" s="33" t="s">
        <v>79</v>
      </c>
      <c r="C69" s="33"/>
      <c r="D69" s="61">
        <f>'[1]VBD JE'!G15</f>
        <v>63.00480769230769</v>
      </c>
      <c r="E69" s="30"/>
      <c r="F69" s="61">
        <f>'[1]VBD JE'!M15</f>
        <v>250</v>
      </c>
      <c r="G69" s="30">
        <f>'[1]VBD JE'!R15</f>
        <v>0</v>
      </c>
      <c r="H69" s="30">
        <f>'[1]VBD JE'!W15</f>
        <v>345</v>
      </c>
      <c r="I69" s="31">
        <f>SUM(D69:H69)</f>
        <v>658.0048076923076</v>
      </c>
      <c r="J69" s="26">
        <f t="shared" si="16"/>
        <v>9.57512877653162</v>
      </c>
      <c r="K69" s="26">
        <f t="shared" si="16"/>
        <v>0</v>
      </c>
      <c r="L69" s="26">
        <f t="shared" si="16"/>
        <v>37.99364337120521</v>
      </c>
      <c r="M69" s="26">
        <f t="shared" si="16"/>
        <v>0</v>
      </c>
      <c r="N69" s="26">
        <f t="shared" si="16"/>
        <v>52.431227852263184</v>
      </c>
      <c r="O69" s="26">
        <f t="shared" si="16"/>
        <v>100</v>
      </c>
      <c r="P69" s="27">
        <v>0.01987179487179487</v>
      </c>
      <c r="Q69" s="32">
        <f t="shared" si="14"/>
        <v>0.0019027499491825655</v>
      </c>
      <c r="R69" s="32">
        <f t="shared" si="14"/>
        <v>0</v>
      </c>
      <c r="S69" s="32">
        <f t="shared" si="14"/>
        <v>0.007550018875047189</v>
      </c>
      <c r="T69" s="32">
        <f t="shared" si="14"/>
        <v>0</v>
      </c>
      <c r="U69" s="32">
        <f t="shared" si="14"/>
        <v>0.010419026047565118</v>
      </c>
      <c r="V69" s="32">
        <f t="shared" si="14"/>
        <v>0.01987179487179487</v>
      </c>
    </row>
    <row r="70" spans="1:22" ht="15">
      <c r="A70" s="21">
        <v>53</v>
      </c>
      <c r="B70" s="33" t="s">
        <v>80</v>
      </c>
      <c r="C70" s="33"/>
      <c r="D70" s="61">
        <f>'[1]VBD LF'!G15</f>
        <v>252.01923076923077</v>
      </c>
      <c r="E70" s="30"/>
      <c r="F70" s="61">
        <f>'[1]VBD LF'!M15</f>
        <v>250</v>
      </c>
      <c r="G70" s="30">
        <f>'[1]VBD LF'!R15</f>
        <v>0</v>
      </c>
      <c r="H70" s="30">
        <f>'[1]VBD LF'!W15</f>
        <v>45</v>
      </c>
      <c r="I70" s="31">
        <f>SUM(D70:H70)</f>
        <v>547.0192307692307</v>
      </c>
      <c r="J70" s="26">
        <f t="shared" si="16"/>
        <v>46.07136579363685</v>
      </c>
      <c r="K70" s="26">
        <f t="shared" si="16"/>
        <v>0</v>
      </c>
      <c r="L70" s="26">
        <f t="shared" si="16"/>
        <v>45.70223237827387</v>
      </c>
      <c r="M70" s="26">
        <f t="shared" si="16"/>
        <v>0</v>
      </c>
      <c r="N70" s="26">
        <f t="shared" si="16"/>
        <v>8.226401828089296</v>
      </c>
      <c r="O70" s="26">
        <f t="shared" si="16"/>
        <v>100</v>
      </c>
      <c r="P70" s="27"/>
      <c r="Q70" s="32">
        <f t="shared" si="14"/>
        <v>0</v>
      </c>
      <c r="R70" s="32">
        <f t="shared" si="14"/>
        <v>0</v>
      </c>
      <c r="S70" s="32">
        <f t="shared" si="14"/>
        <v>0</v>
      </c>
      <c r="T70" s="32">
        <f t="shared" si="14"/>
        <v>0</v>
      </c>
      <c r="U70" s="32">
        <f t="shared" si="14"/>
        <v>0</v>
      </c>
      <c r="V70" s="32">
        <f t="shared" si="14"/>
        <v>0</v>
      </c>
    </row>
    <row r="71" spans="1:22" ht="15.75" thickBot="1">
      <c r="A71" s="36" t="s">
        <v>81</v>
      </c>
      <c r="B71" s="97"/>
      <c r="C71" s="97"/>
      <c r="D71" s="98"/>
      <c r="E71" s="39"/>
      <c r="F71" s="39"/>
      <c r="G71" s="39"/>
      <c r="H71" s="39"/>
      <c r="I71" s="40"/>
      <c r="J71" s="26"/>
      <c r="K71" s="26"/>
      <c r="L71" s="26"/>
      <c r="M71" s="26"/>
      <c r="N71" s="26"/>
      <c r="O71" s="26"/>
      <c r="P71" s="27"/>
      <c r="Q71" s="32">
        <f t="shared" si="14"/>
        <v>0</v>
      </c>
      <c r="R71" s="32">
        <f t="shared" si="14"/>
        <v>0</v>
      </c>
      <c r="S71" s="32">
        <f t="shared" si="14"/>
        <v>0</v>
      </c>
      <c r="T71" s="32">
        <f t="shared" si="14"/>
        <v>0</v>
      </c>
      <c r="U71" s="32">
        <f t="shared" si="14"/>
        <v>0</v>
      </c>
      <c r="V71" s="32">
        <f t="shared" si="14"/>
        <v>0</v>
      </c>
    </row>
    <row r="72" spans="1:36" ht="15.75" thickBot="1">
      <c r="A72" s="103">
        <v>54</v>
      </c>
      <c r="B72" s="104" t="s">
        <v>82</v>
      </c>
      <c r="C72" s="104"/>
      <c r="D72" s="105">
        <f>2.37*960.726686507937</f>
        <v>2276.9222470238105</v>
      </c>
      <c r="E72" s="74"/>
      <c r="F72" s="106">
        <f>2.37*890</f>
        <v>2109.3</v>
      </c>
      <c r="G72" s="106">
        <f>2.37*130.26</f>
        <v>308.7162</v>
      </c>
      <c r="H72" s="106">
        <f>2.37*1517.46734860963</f>
        <v>3596.3976162048234</v>
      </c>
      <c r="I72" s="81">
        <f>SUM(D72:H72)</f>
        <v>8291.336063228633</v>
      </c>
      <c r="J72" s="70"/>
      <c r="K72" s="70"/>
      <c r="L72" s="70"/>
      <c r="M72" s="70"/>
      <c r="N72" s="70"/>
      <c r="O72" s="70"/>
      <c r="P72" s="71"/>
      <c r="Q72" s="72">
        <f t="shared" si="14"/>
        <v>0</v>
      </c>
      <c r="R72" s="72">
        <f t="shared" si="14"/>
        <v>0</v>
      </c>
      <c r="S72" s="72">
        <f t="shared" si="14"/>
        <v>0</v>
      </c>
      <c r="T72" s="72">
        <f t="shared" si="14"/>
        <v>0</v>
      </c>
      <c r="U72" s="72">
        <f t="shared" si="14"/>
        <v>0</v>
      </c>
      <c r="V72" s="72">
        <f t="shared" si="14"/>
        <v>0</v>
      </c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1:36" ht="15.75" thickBot="1">
      <c r="A73" s="73">
        <v>55</v>
      </c>
      <c r="B73" s="104" t="s">
        <v>83</v>
      </c>
      <c r="C73" s="16"/>
      <c r="D73" s="105">
        <f>2.37*960.726686507937</f>
        <v>2276.9222470238105</v>
      </c>
      <c r="E73" s="74"/>
      <c r="F73" s="106">
        <f>2.37*890</f>
        <v>2109.3</v>
      </c>
      <c r="G73" s="106">
        <f>2.37*130.26</f>
        <v>308.7162</v>
      </c>
      <c r="H73" s="106">
        <f>2.37*1517.46734860963</f>
        <v>3596.3976162048234</v>
      </c>
      <c r="I73" s="81">
        <f>SUM(D73:H73)</f>
        <v>8291.336063228633</v>
      </c>
      <c r="J73" s="70"/>
      <c r="K73" s="70"/>
      <c r="L73" s="70"/>
      <c r="M73" s="70"/>
      <c r="N73" s="70"/>
      <c r="O73" s="70"/>
      <c r="P73" s="71"/>
      <c r="Q73" s="72">
        <f t="shared" si="14"/>
        <v>0</v>
      </c>
      <c r="R73" s="72">
        <f t="shared" si="14"/>
        <v>0</v>
      </c>
      <c r="S73" s="72">
        <f t="shared" si="14"/>
        <v>0</v>
      </c>
      <c r="T73" s="72">
        <f t="shared" si="14"/>
        <v>0</v>
      </c>
      <c r="U73" s="72">
        <f t="shared" si="14"/>
        <v>0</v>
      </c>
      <c r="V73" s="72">
        <f t="shared" si="14"/>
        <v>0</v>
      </c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1:22" ht="15.75" thickBot="1">
      <c r="A74" s="10" t="s">
        <v>84</v>
      </c>
      <c r="B74" s="11" t="s">
        <v>85</v>
      </c>
      <c r="C74" s="11"/>
      <c r="D74" s="99">
        <f>'[1]HIV'!G17</f>
        <v>126.16586538461539</v>
      </c>
      <c r="E74" s="12"/>
      <c r="F74" s="107">
        <f>'[1]HIV'!M17</f>
        <v>960</v>
      </c>
      <c r="G74" s="107">
        <f>'[1]HIV'!R17</f>
        <v>1116.9</v>
      </c>
      <c r="H74" s="107">
        <f>'[1]HIV'!W17</f>
        <v>1800</v>
      </c>
      <c r="I74" s="108">
        <f>SUM(D74:H74)</f>
        <v>4003.065865384616</v>
      </c>
      <c r="J74" s="26">
        <f aca="true" t="shared" si="17" ref="J74:O74">D74*100/$I74</f>
        <v>3.1517309389185715</v>
      </c>
      <c r="K74" s="26">
        <f t="shared" si="17"/>
        <v>0</v>
      </c>
      <c r="L74" s="26">
        <f t="shared" si="17"/>
        <v>23.98161889618978</v>
      </c>
      <c r="M74" s="26">
        <f t="shared" si="17"/>
        <v>27.901114734535803</v>
      </c>
      <c r="N74" s="26">
        <f t="shared" si="17"/>
        <v>44.96553543035584</v>
      </c>
      <c r="O74" s="26">
        <f t="shared" si="17"/>
        <v>100</v>
      </c>
      <c r="P74" s="27"/>
      <c r="Q74" s="32">
        <f t="shared" si="14"/>
        <v>0</v>
      </c>
      <c r="R74" s="32">
        <f t="shared" si="14"/>
        <v>0</v>
      </c>
      <c r="S74" s="32">
        <f t="shared" si="14"/>
        <v>0</v>
      </c>
      <c r="T74" s="32">
        <f t="shared" si="14"/>
        <v>0</v>
      </c>
      <c r="U74" s="32">
        <f t="shared" si="14"/>
        <v>0</v>
      </c>
      <c r="V74" s="32">
        <f t="shared" si="14"/>
        <v>0</v>
      </c>
    </row>
    <row r="75" spans="1:22" ht="15">
      <c r="A75" s="109">
        <v>56</v>
      </c>
      <c r="B75" s="33" t="s">
        <v>86</v>
      </c>
      <c r="C75" s="88"/>
      <c r="D75" s="89"/>
      <c r="E75" s="90"/>
      <c r="F75" s="110"/>
      <c r="G75" s="110"/>
      <c r="H75" s="110"/>
      <c r="I75" s="111"/>
      <c r="J75" s="26"/>
      <c r="K75" s="26"/>
      <c r="L75" s="26"/>
      <c r="M75" s="26"/>
      <c r="N75" s="26"/>
      <c r="O75" s="26"/>
      <c r="P75" s="27"/>
      <c r="Q75" s="32"/>
      <c r="R75" s="32"/>
      <c r="S75" s="32"/>
      <c r="T75" s="32"/>
      <c r="U75" s="32"/>
      <c r="V75" s="32"/>
    </row>
    <row r="76" spans="1:22" ht="15">
      <c r="A76" s="109">
        <v>57</v>
      </c>
      <c r="B76" s="33" t="s">
        <v>87</v>
      </c>
      <c r="C76" s="88"/>
      <c r="D76" s="89"/>
      <c r="E76" s="90"/>
      <c r="F76" s="110"/>
      <c r="G76" s="110"/>
      <c r="H76" s="110"/>
      <c r="I76" s="111"/>
      <c r="J76" s="26"/>
      <c r="K76" s="26"/>
      <c r="L76" s="26"/>
      <c r="M76" s="26"/>
      <c r="N76" s="26"/>
      <c r="O76" s="26"/>
      <c r="P76" s="27"/>
      <c r="Q76" s="32"/>
      <c r="R76" s="32"/>
      <c r="S76" s="32"/>
      <c r="T76" s="32"/>
      <c r="U76" s="32"/>
      <c r="V76" s="32"/>
    </row>
    <row r="77" spans="1:22" ht="15">
      <c r="A77" s="109"/>
      <c r="B77" s="88"/>
      <c r="C77" s="88"/>
      <c r="D77" s="89"/>
      <c r="E77" s="90"/>
      <c r="F77" s="110"/>
      <c r="G77" s="110"/>
      <c r="H77" s="110"/>
      <c r="I77" s="111"/>
      <c r="J77" s="26"/>
      <c r="K77" s="26"/>
      <c r="L77" s="26"/>
      <c r="M77" s="26"/>
      <c r="N77" s="26"/>
      <c r="O77" s="26"/>
      <c r="P77" s="27"/>
      <c r="Q77" s="112"/>
      <c r="R77" s="112"/>
      <c r="S77" s="112"/>
      <c r="T77" s="112"/>
      <c r="U77" s="112"/>
      <c r="V77" s="112"/>
    </row>
    <row r="78" spans="1:22" ht="15">
      <c r="A78" s="109">
        <v>58</v>
      </c>
      <c r="B78" s="88" t="s">
        <v>88</v>
      </c>
      <c r="C78" s="88"/>
      <c r="D78" s="89"/>
      <c r="E78" s="90"/>
      <c r="F78" s="110"/>
      <c r="G78" s="110"/>
      <c r="H78" s="110"/>
      <c r="I78" s="111"/>
      <c r="J78" s="26"/>
      <c r="K78" s="26"/>
      <c r="L78" s="26"/>
      <c r="M78" s="26"/>
      <c r="N78" s="26"/>
      <c r="O78" s="26"/>
      <c r="P78" s="27"/>
      <c r="Q78" s="32"/>
      <c r="R78" s="32"/>
      <c r="S78" s="32"/>
      <c r="T78" s="32"/>
      <c r="U78" s="32"/>
      <c r="V78" s="32"/>
    </row>
    <row r="79" spans="1:22" ht="15">
      <c r="A79" s="109"/>
      <c r="B79" s="88"/>
      <c r="C79" s="88"/>
      <c r="D79" s="89"/>
      <c r="E79" s="90"/>
      <c r="F79" s="90"/>
      <c r="G79" s="90"/>
      <c r="H79" s="90"/>
      <c r="I79" s="91"/>
      <c r="J79" s="26"/>
      <c r="K79" s="26"/>
      <c r="L79" s="26"/>
      <c r="M79" s="26"/>
      <c r="N79" s="26"/>
      <c r="O79" s="26"/>
      <c r="P79" s="27"/>
      <c r="Q79" s="32">
        <f aca="true" t="shared" si="18" ref="Q79:V79">J79*$P79/100</f>
        <v>0</v>
      </c>
      <c r="R79" s="32">
        <f t="shared" si="18"/>
        <v>0</v>
      </c>
      <c r="S79" s="32">
        <f t="shared" si="18"/>
        <v>0</v>
      </c>
      <c r="T79" s="32">
        <f t="shared" si="18"/>
        <v>0</v>
      </c>
      <c r="U79" s="32">
        <f t="shared" si="18"/>
        <v>0</v>
      </c>
      <c r="V79" s="32">
        <f t="shared" si="18"/>
        <v>0</v>
      </c>
    </row>
    <row r="80" spans="1:22" ht="15.75" thickBot="1">
      <c r="A80" s="109" t="s">
        <v>89</v>
      </c>
      <c r="B80" s="88" t="s">
        <v>90</v>
      </c>
      <c r="C80" s="88"/>
      <c r="D80" s="89"/>
      <c r="E80" s="90"/>
      <c r="F80" s="90"/>
      <c r="G80" s="90"/>
      <c r="H80" s="90"/>
      <c r="I80" s="91"/>
      <c r="J80" s="26"/>
      <c r="K80" s="26"/>
      <c r="L80" s="26"/>
      <c r="M80" s="26"/>
      <c r="N80" s="26"/>
      <c r="O80" s="26"/>
      <c r="P80" s="27"/>
      <c r="Q80" s="32"/>
      <c r="R80" s="32"/>
      <c r="S80" s="32"/>
      <c r="T80" s="32"/>
      <c r="U80" s="32"/>
      <c r="V80" s="32"/>
    </row>
    <row r="81" spans="1:22" ht="15.75" thickBot="1">
      <c r="A81" s="92">
        <v>59</v>
      </c>
      <c r="B81" s="11" t="s">
        <v>91</v>
      </c>
      <c r="C81" s="11"/>
      <c r="D81" s="99">
        <f>'[1]COPD'!G25</f>
        <v>175.9775641025641</v>
      </c>
      <c r="E81" s="12"/>
      <c r="F81" s="12">
        <f>'[1]COPD'!M25</f>
        <v>860</v>
      </c>
      <c r="G81" s="12">
        <f>'[1]COPD'!R25</f>
        <v>1418.3600000000001</v>
      </c>
      <c r="H81" s="12">
        <f>'[1]COPD'!W25</f>
        <v>195</v>
      </c>
      <c r="I81" s="13">
        <f>SUM(D81:H81)</f>
        <v>2649.337564102564</v>
      </c>
      <c r="J81" s="26">
        <f aca="true" t="shared" si="19" ref="J81:O81">D81*100/$I81</f>
        <v>6.6423232164518335</v>
      </c>
      <c r="K81" s="26">
        <f t="shared" si="19"/>
        <v>0</v>
      </c>
      <c r="L81" s="26">
        <f t="shared" si="19"/>
        <v>32.460944639620365</v>
      </c>
      <c r="M81" s="26">
        <f t="shared" si="19"/>
        <v>53.536401673316206</v>
      </c>
      <c r="N81" s="26">
        <f t="shared" si="19"/>
        <v>7.360330470611594</v>
      </c>
      <c r="O81" s="26">
        <f t="shared" si="19"/>
        <v>100.00000000000001</v>
      </c>
      <c r="P81" s="27">
        <v>8.900255699708245</v>
      </c>
      <c r="Q81" s="32">
        <f aca="true" t="shared" si="20" ref="Q81:V84">J81*$P81/100</f>
        <v>0.5911837506652983</v>
      </c>
      <c r="R81" s="32">
        <f t="shared" si="20"/>
        <v>0</v>
      </c>
      <c r="S81" s="32">
        <f t="shared" si="20"/>
        <v>2.8891070754669492</v>
      </c>
      <c r="T81" s="32">
        <f t="shared" si="20"/>
        <v>4.7648766413480255</v>
      </c>
      <c r="U81" s="32">
        <f t="shared" si="20"/>
        <v>0.6550882322279711</v>
      </c>
      <c r="V81" s="32">
        <f t="shared" si="20"/>
        <v>8.900255699708246</v>
      </c>
    </row>
    <row r="82" spans="1:22" ht="15.75" thickBot="1">
      <c r="A82" s="10" t="s">
        <v>92</v>
      </c>
      <c r="B82" s="11" t="s">
        <v>93</v>
      </c>
      <c r="C82" s="11"/>
      <c r="D82" s="11"/>
      <c r="E82" s="12"/>
      <c r="F82" s="12"/>
      <c r="G82" s="12"/>
      <c r="H82" s="12"/>
      <c r="I82" s="13"/>
      <c r="J82" s="26"/>
      <c r="K82" s="26"/>
      <c r="L82" s="26"/>
      <c r="M82" s="26"/>
      <c r="N82" s="26"/>
      <c r="O82" s="26"/>
      <c r="P82" s="27"/>
      <c r="Q82" s="32">
        <f t="shared" si="20"/>
        <v>0</v>
      </c>
      <c r="R82" s="32">
        <f t="shared" si="20"/>
        <v>0</v>
      </c>
      <c r="S82" s="32">
        <f t="shared" si="20"/>
        <v>0</v>
      </c>
      <c r="T82" s="32">
        <f t="shared" si="20"/>
        <v>0</v>
      </c>
      <c r="U82" s="32">
        <f t="shared" si="20"/>
        <v>0</v>
      </c>
      <c r="V82" s="32">
        <f t="shared" si="20"/>
        <v>0</v>
      </c>
    </row>
    <row r="83" spans="1:22" ht="15">
      <c r="A83" s="42">
        <v>60</v>
      </c>
      <c r="B83" s="22" t="s">
        <v>94</v>
      </c>
      <c r="C83" s="22"/>
      <c r="D83" s="60">
        <f>'[1]A AA'!G15</f>
        <v>211.39423076923077</v>
      </c>
      <c r="E83" s="24"/>
      <c r="F83" s="24">
        <f>'[1]A AA'!M15</f>
        <v>260</v>
      </c>
      <c r="G83" s="24">
        <f>'[1]A AA'!R15</f>
        <v>1056.952</v>
      </c>
      <c r="H83" s="24">
        <f>'[1]A AA'!W15</f>
        <v>195</v>
      </c>
      <c r="I83" s="25">
        <f>SUM(D83:H83)</f>
        <v>1723.3462307692307</v>
      </c>
      <c r="J83" s="26">
        <f aca="true" t="shared" si="21" ref="J83:O83">D83*100/$I83</f>
        <v>12.266497990648872</v>
      </c>
      <c r="K83" s="26">
        <f t="shared" si="21"/>
        <v>0</v>
      </c>
      <c r="L83" s="26">
        <f t="shared" si="21"/>
        <v>15.086927708307734</v>
      </c>
      <c r="M83" s="26">
        <f t="shared" si="21"/>
        <v>61.331378519812596</v>
      </c>
      <c r="N83" s="26">
        <f t="shared" si="21"/>
        <v>11.3151957812308</v>
      </c>
      <c r="O83" s="26">
        <f t="shared" si="21"/>
        <v>100</v>
      </c>
      <c r="P83" s="27">
        <v>21.14110447713719</v>
      </c>
      <c r="Q83" s="32">
        <f t="shared" si="20"/>
        <v>2.5932731558890123</v>
      </c>
      <c r="R83" s="32">
        <f t="shared" si="20"/>
        <v>0</v>
      </c>
      <c r="S83" s="32">
        <f t="shared" si="20"/>
        <v>3.1895431492034976</v>
      </c>
      <c r="T83" s="32">
        <f t="shared" si="20"/>
        <v>12.966130810142058</v>
      </c>
      <c r="U83" s="32">
        <f t="shared" si="20"/>
        <v>2.3921573619026235</v>
      </c>
      <c r="V83" s="32">
        <f t="shared" si="20"/>
        <v>21.14110447713719</v>
      </c>
    </row>
    <row r="84" spans="1:36" ht="15">
      <c r="A84" s="113">
        <v>61</v>
      </c>
      <c r="B84" s="100" t="s">
        <v>95</v>
      </c>
      <c r="C84" s="100"/>
      <c r="D84" s="114">
        <v>175.9775641025641</v>
      </c>
      <c r="E84" s="115"/>
      <c r="F84" s="115">
        <v>860</v>
      </c>
      <c r="G84" s="115">
        <v>1418.3600000000001</v>
      </c>
      <c r="H84" s="115">
        <v>195</v>
      </c>
      <c r="I84" s="116">
        <v>2649.337564102564</v>
      </c>
      <c r="J84" s="70"/>
      <c r="K84" s="70"/>
      <c r="L84" s="70"/>
      <c r="M84" s="70"/>
      <c r="N84" s="70"/>
      <c r="O84" s="70"/>
      <c r="P84" s="71"/>
      <c r="Q84" s="72">
        <f t="shared" si="20"/>
        <v>0</v>
      </c>
      <c r="R84" s="72">
        <f t="shared" si="20"/>
        <v>0</v>
      </c>
      <c r="S84" s="72">
        <f t="shared" si="20"/>
        <v>0</v>
      </c>
      <c r="T84" s="72">
        <f t="shared" si="20"/>
        <v>0</v>
      </c>
      <c r="U84" s="72">
        <f t="shared" si="20"/>
        <v>0</v>
      </c>
      <c r="V84" s="72">
        <f t="shared" si="20"/>
        <v>0</v>
      </c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</row>
    <row r="85" spans="1:22" ht="15">
      <c r="A85" s="117" t="s">
        <v>96</v>
      </c>
      <c r="B85" s="33" t="s">
        <v>97</v>
      </c>
      <c r="C85" s="33"/>
      <c r="D85" s="61"/>
      <c r="E85" s="30"/>
      <c r="F85" s="30"/>
      <c r="G85" s="30"/>
      <c r="H85" s="30"/>
      <c r="I85" s="118"/>
      <c r="J85" s="26"/>
      <c r="K85" s="26"/>
      <c r="L85" s="26"/>
      <c r="M85" s="26"/>
      <c r="N85" s="26"/>
      <c r="O85" s="26"/>
      <c r="P85" s="27"/>
      <c r="Q85" s="32"/>
      <c r="R85" s="32"/>
      <c r="S85" s="32"/>
      <c r="T85" s="32"/>
      <c r="U85" s="32"/>
      <c r="V85" s="32"/>
    </row>
    <row r="86" spans="1:36" ht="15">
      <c r="A86" s="229">
        <v>62</v>
      </c>
      <c r="B86" s="250" t="s">
        <v>98</v>
      </c>
      <c r="C86" s="236" t="s">
        <v>40</v>
      </c>
      <c r="D86" s="229"/>
      <c r="E86" s="229"/>
      <c r="F86" s="229"/>
      <c r="G86" s="229"/>
      <c r="H86" s="229"/>
      <c r="I86" s="229"/>
      <c r="J86" s="229"/>
      <c r="K86" s="229"/>
      <c r="L86" s="229"/>
      <c r="M86" s="230"/>
      <c r="N86" s="231"/>
      <c r="O86" s="232"/>
      <c r="P86" s="232"/>
      <c r="Q86" s="233"/>
      <c r="R86" s="233"/>
      <c r="S86" s="234"/>
      <c r="T86" s="233"/>
      <c r="U86" s="234"/>
      <c r="V86" s="233"/>
      <c r="W86" s="234"/>
      <c r="X86" s="233"/>
      <c r="Y86" s="234"/>
      <c r="Z86" s="233"/>
      <c r="AA86" s="234"/>
      <c r="AB86" s="233"/>
      <c r="AC86" s="234"/>
      <c r="AD86" s="233"/>
      <c r="AE86" s="234"/>
      <c r="AF86" s="233"/>
      <c r="AG86" s="234"/>
      <c r="AH86" s="233"/>
      <c r="AI86" s="233"/>
      <c r="AJ86" s="233"/>
    </row>
    <row r="87" spans="1:36" ht="26.25">
      <c r="A87" s="45">
        <v>63</v>
      </c>
      <c r="B87" s="119" t="s">
        <v>99</v>
      </c>
      <c r="C87" s="44" t="s">
        <v>42</v>
      </c>
      <c r="D87" s="56">
        <f>2.37*112.25353422619</f>
        <v>266.0408761160703</v>
      </c>
      <c r="E87" s="56">
        <f>2.37*35</f>
        <v>82.95</v>
      </c>
      <c r="F87" s="56">
        <f>2.37*660</f>
        <v>1564.2</v>
      </c>
      <c r="G87" s="56">
        <f>2.37*1191.3218</f>
        <v>2823.432666</v>
      </c>
      <c r="H87" s="56">
        <f>2.37*123.281372865068</f>
        <v>292.17685369021115</v>
      </c>
      <c r="I87" s="25">
        <f>SUM(D87:H87)</f>
        <v>5028.800395806282</v>
      </c>
      <c r="J87" s="45"/>
      <c r="K87" s="45"/>
      <c r="L87" s="45"/>
      <c r="M87" s="120"/>
      <c r="N87" s="47"/>
      <c r="O87" s="46"/>
      <c r="P87" s="46"/>
      <c r="Q87" s="48"/>
      <c r="R87" s="48"/>
      <c r="S87" s="49"/>
      <c r="T87" s="48"/>
      <c r="U87" s="49"/>
      <c r="V87" s="48"/>
      <c r="W87" s="49"/>
      <c r="X87" s="48"/>
      <c r="Y87" s="49"/>
      <c r="Z87" s="48"/>
      <c r="AA87" s="49"/>
      <c r="AB87" s="48"/>
      <c r="AC87" s="49"/>
      <c r="AD87" s="48"/>
      <c r="AE87" s="49"/>
      <c r="AF87" s="48"/>
      <c r="AG87" s="49"/>
      <c r="AH87" s="48"/>
      <c r="AI87" s="48"/>
      <c r="AJ87" s="48"/>
    </row>
    <row r="88" spans="1:36" ht="26.25">
      <c r="A88" s="229">
        <v>64</v>
      </c>
      <c r="B88" s="250" t="s">
        <v>100</v>
      </c>
      <c r="C88" s="236" t="s">
        <v>42</v>
      </c>
      <c r="D88" s="229"/>
      <c r="E88" s="229"/>
      <c r="F88" s="229"/>
      <c r="G88" s="229"/>
      <c r="H88" s="229"/>
      <c r="I88" s="229"/>
      <c r="J88" s="229"/>
      <c r="K88" s="229"/>
      <c r="L88" s="229"/>
      <c r="M88" s="230"/>
      <c r="N88" s="231"/>
      <c r="O88" s="232"/>
      <c r="P88" s="232"/>
      <c r="Q88" s="233"/>
      <c r="R88" s="233"/>
      <c r="S88" s="234"/>
      <c r="T88" s="233"/>
      <c r="U88" s="234"/>
      <c r="V88" s="233"/>
      <c r="W88" s="234"/>
      <c r="X88" s="233"/>
      <c r="Y88" s="234"/>
      <c r="Z88" s="233"/>
      <c r="AA88" s="234"/>
      <c r="AB88" s="233"/>
      <c r="AC88" s="234"/>
      <c r="AD88" s="233"/>
      <c r="AE88" s="234"/>
      <c r="AF88" s="233"/>
      <c r="AG88" s="234"/>
      <c r="AH88" s="233"/>
      <c r="AI88" s="233"/>
      <c r="AJ88" s="233"/>
    </row>
    <row r="89" spans="1:36" ht="26.25">
      <c r="A89" s="229">
        <v>65</v>
      </c>
      <c r="B89" s="250" t="s">
        <v>101</v>
      </c>
      <c r="C89" s="236" t="s">
        <v>42</v>
      </c>
      <c r="D89" s="229"/>
      <c r="E89" s="229"/>
      <c r="F89" s="229"/>
      <c r="G89" s="229"/>
      <c r="H89" s="229"/>
      <c r="I89" s="229"/>
      <c r="J89" s="229"/>
      <c r="K89" s="229"/>
      <c r="L89" s="229"/>
      <c r="M89" s="230"/>
      <c r="N89" s="231"/>
      <c r="O89" s="232"/>
      <c r="P89" s="232"/>
      <c r="Q89" s="233"/>
      <c r="R89" s="233"/>
      <c r="S89" s="234"/>
      <c r="T89" s="233"/>
      <c r="U89" s="234"/>
      <c r="V89" s="233"/>
      <c r="W89" s="234"/>
      <c r="X89" s="233"/>
      <c r="Y89" s="234"/>
      <c r="Z89" s="233"/>
      <c r="AA89" s="234"/>
      <c r="AB89" s="233"/>
      <c r="AC89" s="234"/>
      <c r="AD89" s="233"/>
      <c r="AE89" s="234"/>
      <c r="AF89" s="233"/>
      <c r="AG89" s="234"/>
      <c r="AH89" s="233"/>
      <c r="AI89" s="233"/>
      <c r="AJ89" s="233"/>
    </row>
    <row r="90" spans="1:22" ht="15.75" thickBot="1">
      <c r="A90" s="36"/>
      <c r="B90" s="97"/>
      <c r="C90" s="97"/>
      <c r="D90" s="98"/>
      <c r="E90" s="39"/>
      <c r="F90" s="39"/>
      <c r="G90" s="39"/>
      <c r="H90" s="39"/>
      <c r="I90" s="40"/>
      <c r="J90" s="26"/>
      <c r="K90" s="26"/>
      <c r="L90" s="26"/>
      <c r="M90" s="26"/>
      <c r="N90" s="26"/>
      <c r="O90" s="26"/>
      <c r="P90" s="27"/>
      <c r="Q90" s="32">
        <f aca="true" t="shared" si="22" ref="Q90:V106">J90*$P90/100</f>
        <v>0</v>
      </c>
      <c r="R90" s="32">
        <f t="shared" si="22"/>
        <v>0</v>
      </c>
      <c r="S90" s="32">
        <f t="shared" si="22"/>
        <v>0</v>
      </c>
      <c r="T90" s="32">
        <f t="shared" si="22"/>
        <v>0</v>
      </c>
      <c r="U90" s="32">
        <f t="shared" si="22"/>
        <v>0</v>
      </c>
      <c r="V90" s="32">
        <f t="shared" si="22"/>
        <v>0</v>
      </c>
    </row>
    <row r="91" spans="1:22" ht="15.75" thickBot="1">
      <c r="A91" s="87" t="s">
        <v>102</v>
      </c>
      <c r="B91" s="11" t="s">
        <v>103</v>
      </c>
      <c r="C91" s="121"/>
      <c r="D91" s="122"/>
      <c r="E91" s="123"/>
      <c r="F91" s="123"/>
      <c r="G91" s="123"/>
      <c r="H91" s="124"/>
      <c r="I91" s="125"/>
      <c r="J91" s="26"/>
      <c r="K91" s="26"/>
      <c r="L91" s="26"/>
      <c r="M91" s="26"/>
      <c r="N91" s="26"/>
      <c r="O91" s="26"/>
      <c r="P91" s="27"/>
      <c r="Q91" s="32">
        <f t="shared" si="22"/>
        <v>0</v>
      </c>
      <c r="R91" s="32">
        <f t="shared" si="22"/>
        <v>0</v>
      </c>
      <c r="S91" s="32">
        <f t="shared" si="22"/>
        <v>0</v>
      </c>
      <c r="T91" s="32">
        <f t="shared" si="22"/>
        <v>0</v>
      </c>
      <c r="U91" s="32">
        <f t="shared" si="22"/>
        <v>0</v>
      </c>
      <c r="V91" s="32">
        <f t="shared" si="22"/>
        <v>0</v>
      </c>
    </row>
    <row r="92" spans="1:22" ht="15.75" thickBot="1">
      <c r="A92" s="109">
        <v>62</v>
      </c>
      <c r="B92" s="126" t="s">
        <v>104</v>
      </c>
      <c r="C92" s="126"/>
      <c r="D92" s="62">
        <f>'[1]D M min insu'!G15</f>
        <v>109.47115384615385</v>
      </c>
      <c r="E92" s="127">
        <f>'[1]D M min insu'!K15</f>
        <v>0</v>
      </c>
      <c r="F92" s="127">
        <f>'[1]D M min insu'!M15</f>
        <v>275</v>
      </c>
      <c r="G92" s="127">
        <f>'[1]D M min insu'!R15</f>
        <v>211.48100000000005</v>
      </c>
      <c r="H92" s="127">
        <f>'[1]D M min insu'!W15</f>
        <v>180</v>
      </c>
      <c r="I92" s="108">
        <f>SUM(D92:H92)</f>
        <v>775.9521538461539</v>
      </c>
      <c r="J92" s="26">
        <f aca="true" t="shared" si="23" ref="J92:O93">D92*100/$I92</f>
        <v>14.107977315809915</v>
      </c>
      <c r="K92" s="26">
        <f t="shared" si="23"/>
        <v>0</v>
      </c>
      <c r="L92" s="26">
        <f t="shared" si="23"/>
        <v>35.44032948899109</v>
      </c>
      <c r="M92" s="26">
        <f t="shared" si="23"/>
        <v>27.254386620586644</v>
      </c>
      <c r="N92" s="26">
        <f t="shared" si="23"/>
        <v>23.19730657461235</v>
      </c>
      <c r="O92" s="26">
        <f t="shared" si="23"/>
        <v>100</v>
      </c>
      <c r="P92" s="27">
        <v>6.914012794424603</v>
      </c>
      <c r="Q92" s="32">
        <f t="shared" si="22"/>
        <v>0.9754273566496182</v>
      </c>
      <c r="R92" s="32">
        <f t="shared" si="22"/>
        <v>0</v>
      </c>
      <c r="S92" s="32">
        <f t="shared" si="22"/>
        <v>2.4503489152550797</v>
      </c>
      <c r="T92" s="32">
        <f t="shared" si="22"/>
        <v>1.8843717779893077</v>
      </c>
      <c r="U92" s="32">
        <f t="shared" si="22"/>
        <v>1.6038647445305978</v>
      </c>
      <c r="V92" s="32">
        <f t="shared" si="22"/>
        <v>6.914012794424604</v>
      </c>
    </row>
    <row r="93" spans="1:22" ht="15.75" thickBot="1">
      <c r="A93" s="109">
        <v>63</v>
      </c>
      <c r="B93" s="126" t="s">
        <v>105</v>
      </c>
      <c r="C93" s="126"/>
      <c r="D93" s="62">
        <f>'[1]D M plu insu'!G15</f>
        <v>109.47115384615385</v>
      </c>
      <c r="E93" s="127"/>
      <c r="F93" s="127">
        <f>'[1]D M plu insu'!M15</f>
        <v>300</v>
      </c>
      <c r="G93" s="127">
        <f>'[1]D M plu insu'!R15</f>
        <v>30615.981000000003</v>
      </c>
      <c r="H93" s="127">
        <f>'[1]D M plu insu'!W15</f>
        <v>180</v>
      </c>
      <c r="I93" s="108">
        <f>SUM(D93:H93)</f>
        <v>31205.452153846156</v>
      </c>
      <c r="J93" s="26">
        <f t="shared" si="23"/>
        <v>0.3508077796996806</v>
      </c>
      <c r="K93" s="26">
        <f t="shared" si="23"/>
        <v>0</v>
      </c>
      <c r="L93" s="26">
        <f t="shared" si="23"/>
        <v>0.9613704634721154</v>
      </c>
      <c r="M93" s="26">
        <f t="shared" si="23"/>
        <v>98.11099947874494</v>
      </c>
      <c r="N93" s="26">
        <f t="shared" si="23"/>
        <v>0.5768222780832692</v>
      </c>
      <c r="O93" s="26">
        <f t="shared" si="23"/>
        <v>100</v>
      </c>
      <c r="P93" s="27">
        <v>6.914012794424603</v>
      </c>
      <c r="Q93" s="32">
        <f t="shared" si="22"/>
        <v>0.024254894772272793</v>
      </c>
      <c r="R93" s="32">
        <f t="shared" si="22"/>
        <v>0</v>
      </c>
      <c r="S93" s="32">
        <f t="shared" si="22"/>
        <v>0.06646927684628116</v>
      </c>
      <c r="T93" s="32">
        <f t="shared" si="22"/>
        <v>6.783407056698281</v>
      </c>
      <c r="U93" s="32">
        <f t="shared" si="22"/>
        <v>0.0398815661077687</v>
      </c>
      <c r="V93" s="32">
        <f t="shared" si="22"/>
        <v>6.914012794424604</v>
      </c>
    </row>
    <row r="94" spans="1:22" ht="15.75" thickBot="1">
      <c r="A94" s="10" t="s">
        <v>106</v>
      </c>
      <c r="B94" s="88"/>
      <c r="C94" s="88"/>
      <c r="D94" s="89"/>
      <c r="E94" s="90"/>
      <c r="F94" s="90"/>
      <c r="G94" s="90"/>
      <c r="H94" s="90"/>
      <c r="I94" s="91"/>
      <c r="J94" s="26"/>
      <c r="K94" s="26"/>
      <c r="L94" s="26"/>
      <c r="M94" s="26"/>
      <c r="N94" s="26"/>
      <c r="O94" s="26"/>
      <c r="P94" s="27"/>
      <c r="Q94" s="32">
        <f t="shared" si="22"/>
        <v>0</v>
      </c>
      <c r="R94" s="32">
        <f t="shared" si="22"/>
        <v>0</v>
      </c>
      <c r="S94" s="32">
        <f t="shared" si="22"/>
        <v>0</v>
      </c>
      <c r="T94" s="32">
        <f t="shared" si="22"/>
        <v>0</v>
      </c>
      <c r="U94" s="32">
        <f t="shared" si="22"/>
        <v>0</v>
      </c>
      <c r="V94" s="32">
        <f t="shared" si="22"/>
        <v>0</v>
      </c>
    </row>
    <row r="95" spans="1:22" ht="15.75" thickBot="1">
      <c r="A95" s="87">
        <v>64</v>
      </c>
      <c r="B95" s="11" t="s">
        <v>107</v>
      </c>
      <c r="C95" s="11"/>
      <c r="D95" s="99">
        <f>'[1]H S'!G18</f>
        <v>5581.3733974358975</v>
      </c>
      <c r="E95" s="12"/>
      <c r="F95" s="12">
        <f>'[1]H S'!M18</f>
        <v>23097</v>
      </c>
      <c r="G95" s="12">
        <f>'[1]H S'!R18</f>
        <v>2395.1300000000006</v>
      </c>
      <c r="H95" s="12">
        <f>'[1]H S'!W18</f>
        <v>3350</v>
      </c>
      <c r="I95" s="13">
        <f>SUM(D95:H95)</f>
        <v>34423.503397435896</v>
      </c>
      <c r="J95" s="26">
        <f aca="true" t="shared" si="24" ref="J95:O95">D95*100/$I95</f>
        <v>16.213844747282863</v>
      </c>
      <c r="K95" s="26">
        <f t="shared" si="24"/>
        <v>0</v>
      </c>
      <c r="L95" s="26">
        <f t="shared" si="24"/>
        <v>67.09659889446472</v>
      </c>
      <c r="M95" s="26">
        <f t="shared" si="24"/>
        <v>6.9578333510888575</v>
      </c>
      <c r="N95" s="26">
        <f t="shared" si="24"/>
        <v>9.731723007163563</v>
      </c>
      <c r="O95" s="26">
        <f t="shared" si="24"/>
        <v>100</v>
      </c>
      <c r="P95" s="27">
        <v>423.67975684101543</v>
      </c>
      <c r="Q95" s="32">
        <f t="shared" si="22"/>
        <v>68.69477799986778</v>
      </c>
      <c r="R95" s="32">
        <f t="shared" si="22"/>
        <v>0</v>
      </c>
      <c r="S95" s="32">
        <f t="shared" si="22"/>
        <v>284.2747070446596</v>
      </c>
      <c r="T95" s="32">
        <f t="shared" si="22"/>
        <v>29.47893142329635</v>
      </c>
      <c r="U95" s="32">
        <f t="shared" si="22"/>
        <v>41.231340373191735</v>
      </c>
      <c r="V95" s="32">
        <f t="shared" si="22"/>
        <v>423.67975684101543</v>
      </c>
    </row>
    <row r="96" spans="1:22" ht="15.75" thickBot="1">
      <c r="A96" s="109"/>
      <c r="B96" s="88"/>
      <c r="C96" s="88"/>
      <c r="D96" s="89"/>
      <c r="E96" s="90"/>
      <c r="F96" s="90"/>
      <c r="G96" s="90"/>
      <c r="H96" s="90"/>
      <c r="I96" s="91"/>
      <c r="J96" s="26"/>
      <c r="K96" s="26"/>
      <c r="L96" s="26"/>
      <c r="M96" s="26"/>
      <c r="N96" s="26"/>
      <c r="O96" s="26"/>
      <c r="P96" s="27"/>
      <c r="Q96" s="32">
        <f t="shared" si="22"/>
        <v>0</v>
      </c>
      <c r="R96" s="32">
        <f t="shared" si="22"/>
        <v>0</v>
      </c>
      <c r="S96" s="32">
        <f t="shared" si="22"/>
        <v>0</v>
      </c>
      <c r="T96" s="32">
        <f t="shared" si="22"/>
        <v>0</v>
      </c>
      <c r="U96" s="32">
        <f t="shared" si="22"/>
        <v>0</v>
      </c>
      <c r="V96" s="32">
        <f t="shared" si="22"/>
        <v>0</v>
      </c>
    </row>
    <row r="97" spans="1:22" ht="15.75" thickBot="1">
      <c r="A97" s="10" t="s">
        <v>108</v>
      </c>
      <c r="B97" s="11" t="s">
        <v>109</v>
      </c>
      <c r="C97" s="11"/>
      <c r="D97" s="99"/>
      <c r="E97" s="12"/>
      <c r="F97" s="12"/>
      <c r="G97" s="12"/>
      <c r="H97" s="12"/>
      <c r="I97" s="13"/>
      <c r="J97" s="26"/>
      <c r="K97" s="26"/>
      <c r="L97" s="26"/>
      <c r="M97" s="26"/>
      <c r="N97" s="26"/>
      <c r="O97" s="26"/>
      <c r="P97" s="27"/>
      <c r="Q97" s="32">
        <f t="shared" si="22"/>
        <v>0</v>
      </c>
      <c r="R97" s="32">
        <f t="shared" si="22"/>
        <v>0</v>
      </c>
      <c r="S97" s="32">
        <f t="shared" si="22"/>
        <v>0</v>
      </c>
      <c r="T97" s="32">
        <f t="shared" si="22"/>
        <v>0</v>
      </c>
      <c r="U97" s="32">
        <f t="shared" si="22"/>
        <v>0</v>
      </c>
      <c r="V97" s="32">
        <f t="shared" si="22"/>
        <v>0</v>
      </c>
    </row>
    <row r="98" spans="1:22" ht="15">
      <c r="A98" s="42" t="s">
        <v>110</v>
      </c>
      <c r="B98" s="22" t="s">
        <v>111</v>
      </c>
      <c r="C98" s="22"/>
      <c r="D98" s="60"/>
      <c r="E98" s="24"/>
      <c r="F98" s="24"/>
      <c r="G98" s="23"/>
      <c r="H98" s="24"/>
      <c r="I98" s="128"/>
      <c r="J98" s="26"/>
      <c r="K98" s="26"/>
      <c r="L98" s="26"/>
      <c r="M98" s="26"/>
      <c r="N98" s="26"/>
      <c r="O98" s="26"/>
      <c r="P98" s="27"/>
      <c r="Q98" s="32">
        <f t="shared" si="22"/>
        <v>0</v>
      </c>
      <c r="R98" s="32">
        <f t="shared" si="22"/>
        <v>0</v>
      </c>
      <c r="S98" s="32">
        <f t="shared" si="22"/>
        <v>0</v>
      </c>
      <c r="T98" s="32">
        <f t="shared" si="22"/>
        <v>0</v>
      </c>
      <c r="U98" s="32">
        <f t="shared" si="22"/>
        <v>0</v>
      </c>
      <c r="V98" s="32">
        <f t="shared" si="22"/>
        <v>0</v>
      </c>
    </row>
    <row r="99" spans="1:22" ht="15">
      <c r="A99" s="42">
        <v>65</v>
      </c>
      <c r="B99" s="22" t="s">
        <v>112</v>
      </c>
      <c r="C99" s="22"/>
      <c r="D99" s="60">
        <f>'[1]C CAD Inci'!G22</f>
        <v>5440.379807692308</v>
      </c>
      <c r="E99" s="24">
        <f>'[1]C CAD Inci'!K22</f>
        <v>475.86175000000003</v>
      </c>
      <c r="F99" s="24">
        <f>'[1]C CAD Inci'!M22</f>
        <v>1600</v>
      </c>
      <c r="G99" s="23">
        <f>'[1]C CAD Inci'!R22</f>
        <v>15658.547</v>
      </c>
      <c r="H99" s="24">
        <f>'[1]C CAD Inci'!W22</f>
        <v>3350</v>
      </c>
      <c r="I99" s="128">
        <f>'[1]C CAD Inci'!X22</f>
        <v>26524.788557692307</v>
      </c>
      <c r="J99" s="26">
        <f aca="true" t="shared" si="25" ref="J99:O105">D99*100/$I99</f>
        <v>20.51054920139815</v>
      </c>
      <c r="K99" s="26">
        <f t="shared" si="25"/>
        <v>1.7940265535575701</v>
      </c>
      <c r="L99" s="26">
        <f t="shared" si="25"/>
        <v>6.032093324777863</v>
      </c>
      <c r="M99" s="26">
        <f t="shared" si="25"/>
        <v>59.033635521512764</v>
      </c>
      <c r="N99" s="26">
        <f t="shared" si="25"/>
        <v>12.62969539875365</v>
      </c>
      <c r="O99" s="26">
        <f t="shared" si="25"/>
        <v>99.99999999999999</v>
      </c>
      <c r="P99" s="27">
        <v>128.74216631226977</v>
      </c>
      <c r="Q99" s="32">
        <f t="shared" si="22"/>
        <v>26.405725364423926</v>
      </c>
      <c r="R99" s="32">
        <f t="shared" si="22"/>
        <v>2.3096686492673686</v>
      </c>
      <c r="S99" s="32">
        <f t="shared" si="22"/>
        <v>7.76584762029684</v>
      </c>
      <c r="T99" s="32">
        <f t="shared" si="22"/>
        <v>76.00118122328513</v>
      </c>
      <c r="U99" s="32">
        <f t="shared" si="22"/>
        <v>16.259743454996507</v>
      </c>
      <c r="V99" s="32">
        <f t="shared" si="22"/>
        <v>128.74216631226975</v>
      </c>
    </row>
    <row r="100" spans="1:22" ht="15">
      <c r="A100" s="42">
        <v>66</v>
      </c>
      <c r="B100" s="22" t="s">
        <v>113</v>
      </c>
      <c r="C100" s="22"/>
      <c r="D100" s="60">
        <f>'[1]C CAD Prev'!G20</f>
        <v>254.59935897435898</v>
      </c>
      <c r="E100" s="24">
        <f>'[1]C CAD Prev'!K20</f>
        <v>0</v>
      </c>
      <c r="F100" s="24">
        <f>'[1]C CAD Prev'!M20</f>
        <v>1600</v>
      </c>
      <c r="G100" s="23">
        <f>'[1]C CAD Prev'!R20</f>
        <v>1557.727</v>
      </c>
      <c r="H100" s="24">
        <f>'[1]C CAD Prev'!W20</f>
        <v>600</v>
      </c>
      <c r="I100" s="128">
        <f>'[1]C CAD Prev'!X20</f>
        <v>4012.3263589743588</v>
      </c>
      <c r="J100" s="26">
        <f t="shared" si="25"/>
        <v>6.345429962467967</v>
      </c>
      <c r="K100" s="26">
        <f t="shared" si="25"/>
        <v>0</v>
      </c>
      <c r="L100" s="26">
        <f t="shared" si="25"/>
        <v>39.87711509113122</v>
      </c>
      <c r="M100" s="26">
        <f t="shared" si="25"/>
        <v>38.82353678722661</v>
      </c>
      <c r="N100" s="26">
        <f t="shared" si="25"/>
        <v>14.95391815917421</v>
      </c>
      <c r="O100" s="26">
        <f t="shared" si="25"/>
        <v>100</v>
      </c>
      <c r="P100" s="27"/>
      <c r="Q100" s="32">
        <f t="shared" si="22"/>
        <v>0</v>
      </c>
      <c r="R100" s="32">
        <f t="shared" si="22"/>
        <v>0</v>
      </c>
      <c r="S100" s="32">
        <f t="shared" si="22"/>
        <v>0</v>
      </c>
      <c r="T100" s="32">
        <f t="shared" si="22"/>
        <v>0</v>
      </c>
      <c r="U100" s="32">
        <f t="shared" si="22"/>
        <v>0</v>
      </c>
      <c r="V100" s="32">
        <f t="shared" si="22"/>
        <v>0</v>
      </c>
    </row>
    <row r="101" spans="1:22" ht="15">
      <c r="A101" s="21">
        <v>67</v>
      </c>
      <c r="B101" s="33" t="s">
        <v>114</v>
      </c>
      <c r="C101" s="33"/>
      <c r="D101" s="61">
        <f>'[1]C RHD'!G18</f>
        <v>401.3461538461538</v>
      </c>
      <c r="E101" s="30">
        <f>'[1]C RHD'!$K$18</f>
        <v>475.86175000000003</v>
      </c>
      <c r="F101" s="30">
        <f>'[1]C RHD'!$M$18</f>
        <v>1760</v>
      </c>
      <c r="G101" s="30">
        <f>'[1]C RHD'!R18</f>
        <v>285.07</v>
      </c>
      <c r="H101" s="30">
        <f>'[1]C RHD'!W18</f>
        <v>750</v>
      </c>
      <c r="I101" s="31">
        <f aca="true" t="shared" si="26" ref="I101:I107">SUM(D101:H101)</f>
        <v>3672.277903846154</v>
      </c>
      <c r="J101" s="26">
        <f t="shared" si="25"/>
        <v>10.929079017298898</v>
      </c>
      <c r="K101" s="26">
        <f t="shared" si="25"/>
        <v>12.958217282564782</v>
      </c>
      <c r="L101" s="26">
        <f t="shared" si="25"/>
        <v>47.92665604519383</v>
      </c>
      <c r="M101" s="26">
        <f t="shared" si="25"/>
        <v>7.762756726592844</v>
      </c>
      <c r="N101" s="26">
        <f t="shared" si="25"/>
        <v>20.423290928349644</v>
      </c>
      <c r="O101" s="26">
        <f t="shared" si="25"/>
        <v>100</v>
      </c>
      <c r="P101" s="27">
        <v>105.98950943952435</v>
      </c>
      <c r="Q101" s="32">
        <f t="shared" si="22"/>
        <v>11.58367723669309</v>
      </c>
      <c r="R101" s="32">
        <f t="shared" si="22"/>
        <v>13.734350929898076</v>
      </c>
      <c r="S101" s="32">
        <f t="shared" si="22"/>
        <v>50.797227633069085</v>
      </c>
      <c r="T101" s="32">
        <f t="shared" si="22"/>
        <v>8.227707773499434</v>
      </c>
      <c r="U101" s="32">
        <f t="shared" si="22"/>
        <v>21.64654586636467</v>
      </c>
      <c r="V101" s="32">
        <f t="shared" si="22"/>
        <v>105.98950943952435</v>
      </c>
    </row>
    <row r="102" spans="1:22" ht="15.75" thickBot="1">
      <c r="A102" s="87" t="s">
        <v>115</v>
      </c>
      <c r="B102" s="33" t="s">
        <v>116</v>
      </c>
      <c r="C102" s="33"/>
      <c r="D102" s="61">
        <f>'[1]C H'!G21</f>
        <v>59.11057692307692</v>
      </c>
      <c r="E102" s="30"/>
      <c r="F102" s="30">
        <f>'[1]C H'!M21</f>
        <v>1680</v>
      </c>
      <c r="G102" s="30">
        <f>'[1]C H'!R21</f>
        <v>620.5000000000001</v>
      </c>
      <c r="H102" s="30">
        <f>'[1]C H'!W21</f>
        <v>135</v>
      </c>
      <c r="I102" s="31">
        <f t="shared" si="26"/>
        <v>2494.610576923077</v>
      </c>
      <c r="J102" s="26">
        <f t="shared" si="25"/>
        <v>2.369531239460452</v>
      </c>
      <c r="K102" s="26">
        <f t="shared" si="25"/>
        <v>0</v>
      </c>
      <c r="L102" s="26">
        <f t="shared" si="25"/>
        <v>67.34518066832537</v>
      </c>
      <c r="M102" s="26">
        <f t="shared" si="25"/>
        <v>24.873621788509464</v>
      </c>
      <c r="N102" s="26">
        <f t="shared" si="25"/>
        <v>5.411666303704717</v>
      </c>
      <c r="O102" s="26">
        <f t="shared" si="25"/>
        <v>100</v>
      </c>
      <c r="P102" s="27">
        <v>30.703324715128247</v>
      </c>
      <c r="Q102" s="32">
        <f t="shared" si="22"/>
        <v>0.7275248706779458</v>
      </c>
      <c r="R102" s="32">
        <f t="shared" si="22"/>
        <v>0</v>
      </c>
      <c r="S102" s="32">
        <f t="shared" si="22"/>
        <v>20.677209500585715</v>
      </c>
      <c r="T102" s="32">
        <f t="shared" si="22"/>
        <v>7.637028866138951</v>
      </c>
      <c r="U102" s="32">
        <f t="shared" si="22"/>
        <v>1.6615614777256373</v>
      </c>
      <c r="V102" s="32">
        <f t="shared" si="22"/>
        <v>30.703324715128247</v>
      </c>
    </row>
    <row r="103" spans="1:22" ht="15.75" thickBot="1">
      <c r="A103" s="21">
        <v>68</v>
      </c>
      <c r="B103" s="129" t="s">
        <v>117</v>
      </c>
      <c r="C103" s="130"/>
      <c r="D103" s="131">
        <f>'[1]C H diet'!G21</f>
        <v>59.11057692307692</v>
      </c>
      <c r="E103" s="132"/>
      <c r="F103" s="132">
        <f>'[1]C H diet'!M21</f>
        <v>750</v>
      </c>
      <c r="G103" s="132">
        <f>'[1]C H diet'!R21</f>
        <v>0</v>
      </c>
      <c r="H103" s="133">
        <f>'[1]C H diet'!W21</f>
        <v>135</v>
      </c>
      <c r="I103" s="134">
        <f t="shared" si="26"/>
        <v>944.1105769230769</v>
      </c>
      <c r="J103" s="26">
        <f t="shared" si="25"/>
        <v>6.26098026734564</v>
      </c>
      <c r="K103" s="26">
        <f t="shared" si="25"/>
        <v>0</v>
      </c>
      <c r="L103" s="26">
        <f t="shared" si="25"/>
        <v>79.43984723106301</v>
      </c>
      <c r="M103" s="26">
        <f t="shared" si="25"/>
        <v>0</v>
      </c>
      <c r="N103" s="26">
        <f t="shared" si="25"/>
        <v>14.299172501591343</v>
      </c>
      <c r="O103" s="26">
        <f t="shared" si="25"/>
        <v>100</v>
      </c>
      <c r="P103" s="27"/>
      <c r="Q103" s="32">
        <f t="shared" si="22"/>
        <v>0</v>
      </c>
      <c r="R103" s="32">
        <f t="shared" si="22"/>
        <v>0</v>
      </c>
      <c r="S103" s="32">
        <f t="shared" si="22"/>
        <v>0</v>
      </c>
      <c r="T103" s="32">
        <f t="shared" si="22"/>
        <v>0</v>
      </c>
      <c r="U103" s="32">
        <f t="shared" si="22"/>
        <v>0</v>
      </c>
      <c r="V103" s="32">
        <f t="shared" si="22"/>
        <v>0</v>
      </c>
    </row>
    <row r="104" spans="1:22" ht="15.75" thickBot="1">
      <c r="A104" s="21">
        <v>69</v>
      </c>
      <c r="B104" s="129" t="s">
        <v>118</v>
      </c>
      <c r="C104" s="130"/>
      <c r="D104" s="131">
        <f>'[1]C H 1 drg'!G21</f>
        <v>59.11057692307692</v>
      </c>
      <c r="E104" s="132"/>
      <c r="F104" s="132">
        <f>'[1]C H 1 drg'!M21</f>
        <v>750</v>
      </c>
      <c r="G104" s="132">
        <f>'[1]C H 1 drg'!R21</f>
        <v>310.25000000000006</v>
      </c>
      <c r="H104" s="127">
        <f>'[1]C H 1 drg'!W21</f>
        <v>135</v>
      </c>
      <c r="I104" s="134">
        <f t="shared" si="26"/>
        <v>1254.360576923077</v>
      </c>
      <c r="J104" s="26">
        <f t="shared" si="25"/>
        <v>4.7124071029140655</v>
      </c>
      <c r="K104" s="26">
        <f t="shared" si="25"/>
        <v>0</v>
      </c>
      <c r="L104" s="26">
        <f t="shared" si="25"/>
        <v>59.791419931239865</v>
      </c>
      <c r="M104" s="26">
        <f t="shared" si="25"/>
        <v>24.7337173782229</v>
      </c>
      <c r="N104" s="26">
        <f t="shared" si="25"/>
        <v>10.762455587623176</v>
      </c>
      <c r="O104" s="26">
        <f t="shared" si="25"/>
        <v>100</v>
      </c>
      <c r="P104" s="27"/>
      <c r="Q104" s="32">
        <f t="shared" si="22"/>
        <v>0</v>
      </c>
      <c r="R104" s="32">
        <f t="shared" si="22"/>
        <v>0</v>
      </c>
      <c r="S104" s="32">
        <f t="shared" si="22"/>
        <v>0</v>
      </c>
      <c r="T104" s="32">
        <f t="shared" si="22"/>
        <v>0</v>
      </c>
      <c r="U104" s="32">
        <f t="shared" si="22"/>
        <v>0</v>
      </c>
      <c r="V104" s="32">
        <f t="shared" si="22"/>
        <v>0</v>
      </c>
    </row>
    <row r="105" spans="1:22" ht="15.75" thickBot="1">
      <c r="A105" s="21">
        <v>70</v>
      </c>
      <c r="B105" s="129" t="s">
        <v>119</v>
      </c>
      <c r="C105" s="130"/>
      <c r="D105" s="131">
        <f>'[1]C H 2 drg'!G21</f>
        <v>59.11057692307692</v>
      </c>
      <c r="E105" s="132"/>
      <c r="F105" s="132">
        <f>'[1]C H 2 drg'!M21</f>
        <v>750</v>
      </c>
      <c r="G105" s="132">
        <f>'[1]C H 2 drg'!R21</f>
        <v>620.5000000000001</v>
      </c>
      <c r="H105" s="133">
        <f>'[1]C H 2 drg'!W21</f>
        <v>135</v>
      </c>
      <c r="I105" s="134">
        <f t="shared" si="26"/>
        <v>1564.6105769230771</v>
      </c>
      <c r="J105" s="26">
        <f t="shared" si="25"/>
        <v>3.7779737523775574</v>
      </c>
      <c r="K105" s="26">
        <f t="shared" si="25"/>
        <v>0</v>
      </c>
      <c r="L105" s="26">
        <f t="shared" si="25"/>
        <v>47.93525053850337</v>
      </c>
      <c r="M105" s="26">
        <f t="shared" si="25"/>
        <v>39.65843061218846</v>
      </c>
      <c r="N105" s="26">
        <f t="shared" si="25"/>
        <v>8.628345096930607</v>
      </c>
      <c r="O105" s="26">
        <f t="shared" si="25"/>
        <v>100</v>
      </c>
      <c r="P105" s="27"/>
      <c r="Q105" s="32">
        <f t="shared" si="22"/>
        <v>0</v>
      </c>
      <c r="R105" s="32">
        <f t="shared" si="22"/>
        <v>0</v>
      </c>
      <c r="S105" s="32">
        <f t="shared" si="22"/>
        <v>0</v>
      </c>
      <c r="T105" s="32">
        <f t="shared" si="22"/>
        <v>0</v>
      </c>
      <c r="U105" s="32">
        <f t="shared" si="22"/>
        <v>0</v>
      </c>
      <c r="V105" s="32">
        <f t="shared" si="22"/>
        <v>0</v>
      </c>
    </row>
    <row r="106" spans="1:36" ht="15.75" thickBot="1">
      <c r="A106" s="113">
        <v>71</v>
      </c>
      <c r="B106" s="135" t="s">
        <v>120</v>
      </c>
      <c r="C106" s="100"/>
      <c r="D106" s="136">
        <f>2.37*1418.29489087302</f>
        <v>3361.3588913690573</v>
      </c>
      <c r="E106" s="137">
        <f>2.37*4553.57142857143</f>
        <v>10791.96428571429</v>
      </c>
      <c r="F106" s="137">
        <f>1163*2.37</f>
        <v>2756.31</v>
      </c>
      <c r="G106" s="137">
        <f>2.37*5228.093</f>
        <v>12390.58041</v>
      </c>
      <c r="H106" s="137">
        <f>2.37*355.508643921546</f>
        <v>842.5554860940641</v>
      </c>
      <c r="I106" s="134">
        <f t="shared" si="26"/>
        <v>30142.769073177416</v>
      </c>
      <c r="J106" s="70"/>
      <c r="K106" s="70"/>
      <c r="L106" s="70"/>
      <c r="M106" s="70"/>
      <c r="N106" s="70"/>
      <c r="O106" s="70"/>
      <c r="P106" s="71"/>
      <c r="Q106" s="72">
        <f t="shared" si="22"/>
        <v>0</v>
      </c>
      <c r="R106" s="72">
        <f t="shared" si="22"/>
        <v>0</v>
      </c>
      <c r="S106" s="72">
        <f t="shared" si="22"/>
        <v>0</v>
      </c>
      <c r="T106" s="72">
        <f t="shared" si="22"/>
        <v>0</v>
      </c>
      <c r="U106" s="72">
        <f t="shared" si="22"/>
        <v>0</v>
      </c>
      <c r="V106" s="72">
        <f t="shared" si="22"/>
        <v>0</v>
      </c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</row>
    <row r="107" spans="1:36" ht="15.75" thickBot="1">
      <c r="A107" s="45">
        <v>72</v>
      </c>
      <c r="B107" s="135" t="s">
        <v>121</v>
      </c>
      <c r="C107" s="44"/>
      <c r="D107" s="56">
        <f>1017.42001488095*2.37</f>
        <v>2411.285435267852</v>
      </c>
      <c r="E107" s="138">
        <f>2.37*4553.57142857143</f>
        <v>10791.96428571429</v>
      </c>
      <c r="F107" s="56">
        <f>12863*2.37</f>
        <v>30485.31</v>
      </c>
      <c r="G107" s="56">
        <f>10247.643*2.37</f>
        <v>24286.913910000003</v>
      </c>
      <c r="H107" s="56">
        <f>704.132328224336*2.37</f>
        <v>1668.7936178916764</v>
      </c>
      <c r="I107" s="134">
        <f t="shared" si="26"/>
        <v>69644.26724887382</v>
      </c>
      <c r="J107" s="45"/>
      <c r="K107" s="45"/>
      <c r="L107" s="45"/>
      <c r="M107" s="120"/>
      <c r="N107" s="47"/>
      <c r="O107" s="46"/>
      <c r="P107" s="46"/>
      <c r="Q107" s="48"/>
      <c r="R107" s="48"/>
      <c r="S107" s="49"/>
      <c r="T107" s="48"/>
      <c r="U107" s="49"/>
      <c r="V107" s="48"/>
      <c r="W107" s="49"/>
      <c r="X107" s="48"/>
      <c r="Y107" s="49"/>
      <c r="Z107" s="48"/>
      <c r="AA107" s="49"/>
      <c r="AB107" s="48"/>
      <c r="AC107" s="49"/>
      <c r="AD107" s="48"/>
      <c r="AE107" s="49"/>
      <c r="AF107" s="48"/>
      <c r="AG107" s="49"/>
      <c r="AH107" s="48"/>
      <c r="AI107" s="48"/>
      <c r="AJ107" s="48"/>
    </row>
    <row r="108" spans="1:36" ht="15">
      <c r="A108" s="139">
        <v>73</v>
      </c>
      <c r="B108" s="135" t="s">
        <v>122</v>
      </c>
      <c r="C108" s="44"/>
      <c r="D108" s="45"/>
      <c r="E108" s="45"/>
      <c r="F108" s="45"/>
      <c r="G108" s="45"/>
      <c r="H108" s="45"/>
      <c r="I108" s="45"/>
      <c r="J108" s="45"/>
      <c r="K108" s="45"/>
      <c r="L108" s="45"/>
      <c r="M108" s="120"/>
      <c r="N108" s="47"/>
      <c r="O108" s="46"/>
      <c r="P108" s="46"/>
      <c r="Q108" s="48"/>
      <c r="R108" s="48"/>
      <c r="S108" s="49"/>
      <c r="T108" s="48"/>
      <c r="U108" s="49"/>
      <c r="V108" s="48"/>
      <c r="W108" s="49"/>
      <c r="X108" s="48"/>
      <c r="Y108" s="49"/>
      <c r="Z108" s="48"/>
      <c r="AA108" s="49"/>
      <c r="AB108" s="48"/>
      <c r="AC108" s="49"/>
      <c r="AD108" s="48"/>
      <c r="AE108" s="49"/>
      <c r="AF108" s="48"/>
      <c r="AG108" s="49"/>
      <c r="AH108" s="48"/>
      <c r="AI108" s="48"/>
      <c r="AJ108" s="48"/>
    </row>
    <row r="109" spans="1:22" ht="15.75" thickBot="1">
      <c r="A109" s="36"/>
      <c r="B109" s="97"/>
      <c r="C109" s="97"/>
      <c r="D109" s="98"/>
      <c r="E109" s="39"/>
      <c r="F109" s="39"/>
      <c r="G109" s="39"/>
      <c r="H109" s="39"/>
      <c r="I109" s="40"/>
      <c r="J109" s="26"/>
      <c r="K109" s="26"/>
      <c r="L109" s="26"/>
      <c r="M109" s="26"/>
      <c r="N109" s="26"/>
      <c r="O109" s="26"/>
      <c r="P109" s="27"/>
      <c r="Q109" s="32">
        <f aca="true" t="shared" si="27" ref="Q109:V114">J109*$P109/100</f>
        <v>0</v>
      </c>
      <c r="R109" s="32">
        <f t="shared" si="27"/>
        <v>0</v>
      </c>
      <c r="S109" s="32">
        <f t="shared" si="27"/>
        <v>0</v>
      </c>
      <c r="T109" s="32">
        <f t="shared" si="27"/>
        <v>0</v>
      </c>
      <c r="U109" s="32">
        <f t="shared" si="27"/>
        <v>0</v>
      </c>
      <c r="V109" s="32">
        <f t="shared" si="27"/>
        <v>0</v>
      </c>
    </row>
    <row r="110" spans="1:22" ht="15.75" thickBot="1">
      <c r="A110" s="10" t="s">
        <v>123</v>
      </c>
      <c r="B110" s="11" t="s">
        <v>124</v>
      </c>
      <c r="C110" s="11"/>
      <c r="D110" s="99"/>
      <c r="E110" s="12"/>
      <c r="F110" s="12"/>
      <c r="G110" s="12"/>
      <c r="H110" s="12"/>
      <c r="I110" s="13"/>
      <c r="J110" s="26"/>
      <c r="K110" s="26"/>
      <c r="L110" s="26"/>
      <c r="M110" s="26"/>
      <c r="N110" s="26"/>
      <c r="O110" s="26"/>
      <c r="P110" s="27"/>
      <c r="Q110" s="32">
        <f t="shared" si="27"/>
        <v>0</v>
      </c>
      <c r="R110" s="32">
        <f t="shared" si="27"/>
        <v>0</v>
      </c>
      <c r="S110" s="32">
        <f t="shared" si="27"/>
        <v>0</v>
      </c>
      <c r="T110" s="32">
        <f t="shared" si="27"/>
        <v>0</v>
      </c>
      <c r="U110" s="32">
        <f t="shared" si="27"/>
        <v>0</v>
      </c>
      <c r="V110" s="32">
        <f t="shared" si="27"/>
        <v>0</v>
      </c>
    </row>
    <row r="111" spans="1:22" ht="15">
      <c r="A111" s="21">
        <v>74</v>
      </c>
      <c r="B111" s="22" t="s">
        <v>125</v>
      </c>
      <c r="C111" s="22"/>
      <c r="D111" s="60">
        <f>'[1]C BC'!G19</f>
        <v>2499.1346153846152</v>
      </c>
      <c r="E111" s="24"/>
      <c r="F111" s="24">
        <f>'[1]C BC'!M19</f>
        <v>895</v>
      </c>
      <c r="G111" s="24">
        <f>'[1]C BC'!R19</f>
        <v>164.628</v>
      </c>
      <c r="H111" s="24">
        <f>'[1]C BC'!W19</f>
        <v>4200</v>
      </c>
      <c r="I111" s="25">
        <f>SUM(D111:H111)</f>
        <v>7758.762615384616</v>
      </c>
      <c r="J111" s="26">
        <f aca="true" t="shared" si="28" ref="J111:O114">D111*100/$I111</f>
        <v>32.21047916106051</v>
      </c>
      <c r="K111" s="26">
        <f t="shared" si="28"/>
        <v>0</v>
      </c>
      <c r="L111" s="26">
        <f t="shared" si="28"/>
        <v>11.53534454354012</v>
      </c>
      <c r="M111" s="26">
        <f t="shared" si="28"/>
        <v>2.121833186049076</v>
      </c>
      <c r="N111" s="26">
        <f t="shared" si="28"/>
        <v>54.13234310935029</v>
      </c>
      <c r="O111" s="26">
        <f t="shared" si="28"/>
        <v>100</v>
      </c>
      <c r="P111" s="27">
        <v>33.00329828242879</v>
      </c>
      <c r="Q111" s="32">
        <f t="shared" si="27"/>
        <v>10.630520515724365</v>
      </c>
      <c r="R111" s="32">
        <f t="shared" si="27"/>
        <v>0</v>
      </c>
      <c r="S111" s="32">
        <f t="shared" si="27"/>
        <v>3.807044167610419</v>
      </c>
      <c r="T111" s="32">
        <f t="shared" si="27"/>
        <v>0.7002749354473385</v>
      </c>
      <c r="U111" s="32">
        <f t="shared" si="27"/>
        <v>17.865458663646663</v>
      </c>
      <c r="V111" s="32">
        <f t="shared" si="27"/>
        <v>33.00329828242879</v>
      </c>
    </row>
    <row r="112" spans="1:22" ht="15">
      <c r="A112" s="21">
        <v>75</v>
      </c>
      <c r="B112" s="33" t="s">
        <v>126</v>
      </c>
      <c r="C112" s="33"/>
      <c r="D112" s="61">
        <f>'[1]C CC'!G16</f>
        <v>2499.1346153846152</v>
      </c>
      <c r="E112" s="30"/>
      <c r="F112" s="30">
        <f>'[1]C CC'!M16</f>
        <v>930</v>
      </c>
      <c r="G112" s="30">
        <f>'[1]C CC'!R16</f>
        <v>1314.666</v>
      </c>
      <c r="H112" s="30">
        <f>'[1]C CC'!W16</f>
        <v>4200</v>
      </c>
      <c r="I112" s="31">
        <f>SUM(D112:H112)</f>
        <v>8943.800615384615</v>
      </c>
      <c r="J112" s="41">
        <f t="shared" si="28"/>
        <v>27.942646788052798</v>
      </c>
      <c r="K112" s="41">
        <f t="shared" si="28"/>
        <v>0</v>
      </c>
      <c r="L112" s="41">
        <f t="shared" si="28"/>
        <v>10.39826400423403</v>
      </c>
      <c r="M112" s="41">
        <f t="shared" si="28"/>
        <v>14.699187253107887</v>
      </c>
      <c r="N112" s="41">
        <f t="shared" si="28"/>
        <v>46.95990195460529</v>
      </c>
      <c r="O112" s="41">
        <f t="shared" si="28"/>
        <v>100</v>
      </c>
      <c r="P112" s="62">
        <v>47.22218683541539</v>
      </c>
      <c r="Q112" s="32">
        <f t="shared" si="27"/>
        <v>13.195128873014491</v>
      </c>
      <c r="R112" s="32">
        <f t="shared" si="27"/>
        <v>0</v>
      </c>
      <c r="S112" s="32">
        <f t="shared" si="27"/>
        <v>4.91028765571914</v>
      </c>
      <c r="T112" s="32">
        <f t="shared" si="27"/>
        <v>6.94127766795017</v>
      </c>
      <c r="U112" s="32">
        <f t="shared" si="27"/>
        <v>22.175492638731598</v>
      </c>
      <c r="V112" s="32">
        <f t="shared" si="27"/>
        <v>47.22218683541539</v>
      </c>
    </row>
    <row r="113" spans="1:22" ht="15">
      <c r="A113" s="140">
        <v>76</v>
      </c>
      <c r="B113" s="33" t="s">
        <v>127</v>
      </c>
      <c r="C113" s="33"/>
      <c r="D113" s="61">
        <f>'[1]C LC'!G15</f>
        <v>2499.1346153846152</v>
      </c>
      <c r="E113" s="30"/>
      <c r="F113" s="30">
        <f>'[1]C LC'!M15</f>
        <v>260</v>
      </c>
      <c r="G113" s="30">
        <f>'[1]C LC'!R15</f>
        <v>12.75</v>
      </c>
      <c r="H113" s="30">
        <f>'[1]C LC'!W15</f>
        <v>4200</v>
      </c>
      <c r="I113" s="31">
        <f>SUM(D113:H113)</f>
        <v>6971.884615384615</v>
      </c>
      <c r="J113" s="26">
        <f t="shared" si="28"/>
        <v>35.84589753349994</v>
      </c>
      <c r="K113" s="26">
        <f t="shared" si="28"/>
        <v>0</v>
      </c>
      <c r="L113" s="26">
        <f t="shared" si="28"/>
        <v>3.729264242644909</v>
      </c>
      <c r="M113" s="26">
        <f t="shared" si="28"/>
        <v>0.18287738112970228</v>
      </c>
      <c r="N113" s="26">
        <f t="shared" si="28"/>
        <v>60.241960842725454</v>
      </c>
      <c r="O113" s="26">
        <f t="shared" si="28"/>
        <v>100</v>
      </c>
      <c r="P113" s="27">
        <v>11.350301846850773</v>
      </c>
      <c r="Q113" s="32">
        <f t="shared" si="27"/>
        <v>4.068617569765078</v>
      </c>
      <c r="R113" s="32">
        <f t="shared" si="27"/>
        <v>0</v>
      </c>
      <c r="S113" s="32">
        <f t="shared" si="27"/>
        <v>0.4232827482068706</v>
      </c>
      <c r="T113" s="32">
        <f t="shared" si="27"/>
        <v>0.020757134767836926</v>
      </c>
      <c r="U113" s="32">
        <f t="shared" si="27"/>
        <v>6.837644394110987</v>
      </c>
      <c r="V113" s="32">
        <f t="shared" si="27"/>
        <v>11.350301846850773</v>
      </c>
    </row>
    <row r="114" spans="1:22" ht="15">
      <c r="A114" s="140">
        <v>77</v>
      </c>
      <c r="B114" s="33" t="s">
        <v>128</v>
      </c>
      <c r="C114" s="33"/>
      <c r="D114" s="61">
        <f>'[1]C SC'!G15</f>
        <v>2499.1346153846152</v>
      </c>
      <c r="E114" s="30"/>
      <c r="F114" s="30">
        <f>'[1]C SC'!M15</f>
        <v>980</v>
      </c>
      <c r="G114" s="30">
        <f>'[1]C SC'!R15</f>
        <v>1766.4</v>
      </c>
      <c r="H114" s="30">
        <f>'[1]C SC'!W15</f>
        <v>2100</v>
      </c>
      <c r="I114" s="31">
        <f>SUM(D114:H114)</f>
        <v>7345.534615384615</v>
      </c>
      <c r="J114" s="26">
        <f t="shared" si="28"/>
        <v>34.0225013731524</v>
      </c>
      <c r="K114" s="26">
        <f t="shared" si="28"/>
        <v>0</v>
      </c>
      <c r="L114" s="26">
        <f t="shared" si="28"/>
        <v>13.341438728604873</v>
      </c>
      <c r="M114" s="26">
        <f t="shared" si="28"/>
        <v>24.047262622660863</v>
      </c>
      <c r="N114" s="26">
        <f t="shared" si="28"/>
        <v>28.58879727558187</v>
      </c>
      <c r="O114" s="26">
        <f t="shared" si="28"/>
        <v>100</v>
      </c>
      <c r="P114" s="27">
        <v>7.596486250980051</v>
      </c>
      <c r="Q114" s="32">
        <f t="shared" si="27"/>
        <v>2.584514639051021</v>
      </c>
      <c r="R114" s="32">
        <f t="shared" si="27"/>
        <v>0</v>
      </c>
      <c r="S114" s="32">
        <f t="shared" si="27"/>
        <v>1.0134805587013966</v>
      </c>
      <c r="T114" s="32">
        <f t="shared" si="27"/>
        <v>1.8267469988674971</v>
      </c>
      <c r="U114" s="32">
        <f t="shared" si="27"/>
        <v>2.1717440543601363</v>
      </c>
      <c r="V114" s="32">
        <f t="shared" si="27"/>
        <v>7.596486250980051</v>
      </c>
    </row>
    <row r="115" spans="1:22" ht="15.75" thickBot="1">
      <c r="A115" s="36"/>
      <c r="B115" s="141"/>
      <c r="C115" s="141"/>
      <c r="D115" s="142"/>
      <c r="E115" s="143"/>
      <c r="F115" s="143"/>
      <c r="G115" s="143"/>
      <c r="H115" s="143"/>
      <c r="I115" s="144"/>
      <c r="J115" s="26"/>
      <c r="K115" s="26"/>
      <c r="L115" s="26"/>
      <c r="M115" s="26"/>
      <c r="N115" s="26"/>
      <c r="O115" s="26"/>
      <c r="P115" s="27"/>
      <c r="Q115" s="32"/>
      <c r="R115" s="32"/>
      <c r="S115" s="32"/>
      <c r="T115" s="32"/>
      <c r="U115" s="32"/>
      <c r="V115" s="32"/>
    </row>
    <row r="116" spans="1:36" ht="15.75" thickBot="1">
      <c r="A116" s="145" t="s">
        <v>129</v>
      </c>
      <c r="B116" s="11" t="s">
        <v>130</v>
      </c>
      <c r="C116" s="146"/>
      <c r="D116" s="145"/>
      <c r="E116" s="145"/>
      <c r="F116" s="145"/>
      <c r="G116" s="145"/>
      <c r="H116" s="145"/>
      <c r="I116" s="145"/>
      <c r="J116" s="145"/>
      <c r="K116" s="145"/>
      <c r="L116" s="145"/>
      <c r="M116" s="147"/>
      <c r="N116" s="148"/>
      <c r="O116" s="149"/>
      <c r="P116" s="149"/>
      <c r="Q116" s="150"/>
      <c r="R116" s="150"/>
      <c r="S116" s="151"/>
      <c r="T116" s="150"/>
      <c r="U116" s="151"/>
      <c r="V116" s="150"/>
      <c r="W116" s="151"/>
      <c r="X116" s="150"/>
      <c r="Y116" s="151"/>
      <c r="Z116" s="150"/>
      <c r="AA116" s="151"/>
      <c r="AB116" s="150"/>
      <c r="AC116" s="151"/>
      <c r="AD116" s="150"/>
      <c r="AE116" s="151"/>
      <c r="AF116" s="150"/>
      <c r="AG116" s="151"/>
      <c r="AH116" s="150"/>
      <c r="AI116" s="150"/>
      <c r="AJ116" s="150"/>
    </row>
    <row r="117" spans="1:36" ht="15">
      <c r="A117" s="229">
        <v>78</v>
      </c>
      <c r="B117" s="248" t="s">
        <v>131</v>
      </c>
      <c r="C117" s="236" t="s">
        <v>40</v>
      </c>
      <c r="D117" s="229"/>
      <c r="E117" s="229"/>
      <c r="F117" s="229"/>
      <c r="G117" s="229"/>
      <c r="H117" s="229"/>
      <c r="I117" s="229"/>
      <c r="J117" s="229"/>
      <c r="K117" s="229"/>
      <c r="L117" s="229"/>
      <c r="M117" s="230"/>
      <c r="N117" s="231"/>
      <c r="O117" s="232"/>
      <c r="P117" s="232"/>
      <c r="Q117" s="233"/>
      <c r="R117" s="233"/>
      <c r="S117" s="234"/>
      <c r="T117" s="233"/>
      <c r="U117" s="234"/>
      <c r="V117" s="233"/>
      <c r="W117" s="234"/>
      <c r="X117" s="233"/>
      <c r="Y117" s="234"/>
      <c r="Z117" s="233"/>
      <c r="AA117" s="234"/>
      <c r="AB117" s="233"/>
      <c r="AC117" s="234"/>
      <c r="AD117" s="233"/>
      <c r="AE117" s="234"/>
      <c r="AF117" s="233"/>
      <c r="AG117" s="234"/>
      <c r="AH117" s="233"/>
      <c r="AI117" s="233"/>
      <c r="AJ117" s="233"/>
    </row>
    <row r="118" spans="1:36" ht="15">
      <c r="A118" s="229">
        <v>79</v>
      </c>
      <c r="B118" s="249" t="s">
        <v>132</v>
      </c>
      <c r="C118" s="236" t="s">
        <v>40</v>
      </c>
      <c r="D118" s="229"/>
      <c r="E118" s="229"/>
      <c r="F118" s="229"/>
      <c r="G118" s="229"/>
      <c r="H118" s="229"/>
      <c r="I118" s="229"/>
      <c r="J118" s="229"/>
      <c r="K118" s="229"/>
      <c r="L118" s="229"/>
      <c r="M118" s="230"/>
      <c r="N118" s="231"/>
      <c r="O118" s="232"/>
      <c r="P118" s="232"/>
      <c r="Q118" s="233"/>
      <c r="R118" s="233"/>
      <c r="S118" s="234"/>
      <c r="T118" s="233"/>
      <c r="U118" s="234"/>
      <c r="V118" s="233"/>
      <c r="W118" s="234"/>
      <c r="X118" s="233"/>
      <c r="Y118" s="234"/>
      <c r="Z118" s="233"/>
      <c r="AA118" s="234"/>
      <c r="AB118" s="233"/>
      <c r="AC118" s="234"/>
      <c r="AD118" s="233"/>
      <c r="AE118" s="234"/>
      <c r="AF118" s="233"/>
      <c r="AG118" s="234"/>
      <c r="AH118" s="233"/>
      <c r="AI118" s="233"/>
      <c r="AJ118" s="233"/>
    </row>
    <row r="119" spans="1:36" ht="25.5">
      <c r="A119" s="45">
        <v>80</v>
      </c>
      <c r="B119" s="100" t="s">
        <v>133</v>
      </c>
      <c r="C119" s="44" t="s">
        <v>134</v>
      </c>
      <c r="D119" s="45"/>
      <c r="E119" s="45"/>
      <c r="F119" s="45"/>
      <c r="G119" s="45"/>
      <c r="H119" s="45"/>
      <c r="I119" s="45">
        <v>6500</v>
      </c>
      <c r="J119" s="45"/>
      <c r="K119" s="45"/>
      <c r="L119" s="45"/>
      <c r="M119" s="120"/>
      <c r="N119" s="47"/>
      <c r="O119" s="46"/>
      <c r="P119" s="46"/>
      <c r="Q119" s="48"/>
      <c r="R119" s="48"/>
      <c r="S119" s="49"/>
      <c r="T119" s="48"/>
      <c r="U119" s="49"/>
      <c r="V119" s="48"/>
      <c r="W119" s="49"/>
      <c r="X119" s="48"/>
      <c r="Y119" s="49"/>
      <c r="Z119" s="48"/>
      <c r="AA119" s="49"/>
      <c r="AB119" s="48"/>
      <c r="AC119" s="49"/>
      <c r="AD119" s="48"/>
      <c r="AE119" s="49"/>
      <c r="AF119" s="48"/>
      <c r="AG119" s="49"/>
      <c r="AH119" s="48"/>
      <c r="AI119" s="48"/>
      <c r="AJ119" s="48"/>
    </row>
    <row r="120" spans="1:36" ht="25.5">
      <c r="A120" s="45">
        <v>81</v>
      </c>
      <c r="B120" s="100" t="s">
        <v>135</v>
      </c>
      <c r="C120" s="44" t="s">
        <v>134</v>
      </c>
      <c r="D120" s="45"/>
      <c r="E120" s="45"/>
      <c r="F120" s="45"/>
      <c r="G120" s="45"/>
      <c r="H120" s="45"/>
      <c r="I120" s="45">
        <v>6500</v>
      </c>
      <c r="J120" s="45"/>
      <c r="K120" s="45"/>
      <c r="L120" s="45"/>
      <c r="M120" s="120"/>
      <c r="N120" s="47"/>
      <c r="O120" s="46"/>
      <c r="P120" s="46"/>
      <c r="Q120" s="48"/>
      <c r="R120" s="48"/>
      <c r="S120" s="49"/>
      <c r="T120" s="48"/>
      <c r="U120" s="49"/>
      <c r="V120" s="48"/>
      <c r="W120" s="49"/>
      <c r="X120" s="48"/>
      <c r="Y120" s="49"/>
      <c r="Z120" s="48"/>
      <c r="AA120" s="49"/>
      <c r="AB120" s="48"/>
      <c r="AC120" s="49"/>
      <c r="AD120" s="48"/>
      <c r="AE120" s="49"/>
      <c r="AF120" s="48"/>
      <c r="AG120" s="49"/>
      <c r="AH120" s="48"/>
      <c r="AI120" s="48"/>
      <c r="AJ120" s="48"/>
    </row>
    <row r="121" spans="1:36" ht="25.5">
      <c r="A121" s="45">
        <v>82</v>
      </c>
      <c r="B121" s="152" t="s">
        <v>136</v>
      </c>
      <c r="C121" s="44" t="s">
        <v>134</v>
      </c>
      <c r="D121" s="45"/>
      <c r="E121" s="45"/>
      <c r="F121" s="45"/>
      <c r="G121" s="45"/>
      <c r="H121" s="45"/>
      <c r="I121" s="45">
        <v>6500</v>
      </c>
      <c r="J121" s="45"/>
      <c r="K121" s="45"/>
      <c r="L121" s="45"/>
      <c r="M121" s="120"/>
      <c r="N121" s="47"/>
      <c r="O121" s="46"/>
      <c r="P121" s="46"/>
      <c r="Q121" s="48"/>
      <c r="R121" s="48"/>
      <c r="S121" s="49"/>
      <c r="T121" s="48"/>
      <c r="U121" s="49"/>
      <c r="V121" s="48"/>
      <c r="W121" s="49"/>
      <c r="X121" s="48"/>
      <c r="Y121" s="49"/>
      <c r="Z121" s="48"/>
      <c r="AA121" s="49"/>
      <c r="AB121" s="48"/>
      <c r="AC121" s="49"/>
      <c r="AD121" s="48"/>
      <c r="AE121" s="49"/>
      <c r="AF121" s="48"/>
      <c r="AG121" s="49"/>
      <c r="AH121" s="48"/>
      <c r="AI121" s="48"/>
      <c r="AJ121" s="48"/>
    </row>
    <row r="122" spans="1:36" ht="25.5">
      <c r="A122" s="229">
        <v>83</v>
      </c>
      <c r="B122" s="249" t="s">
        <v>137</v>
      </c>
      <c r="C122" s="236" t="s">
        <v>134</v>
      </c>
      <c r="D122" s="229"/>
      <c r="E122" s="229"/>
      <c r="F122" s="229"/>
      <c r="G122" s="229"/>
      <c r="H122" s="229"/>
      <c r="I122" s="229"/>
      <c r="J122" s="229"/>
      <c r="K122" s="229"/>
      <c r="L122" s="229"/>
      <c r="M122" s="230"/>
      <c r="N122" s="231"/>
      <c r="O122" s="232"/>
      <c r="P122" s="232"/>
      <c r="Q122" s="233"/>
      <c r="R122" s="233"/>
      <c r="S122" s="234"/>
      <c r="T122" s="233"/>
      <c r="U122" s="234"/>
      <c r="V122" s="233"/>
      <c r="W122" s="234"/>
      <c r="X122" s="233"/>
      <c r="Y122" s="234"/>
      <c r="Z122" s="233"/>
      <c r="AA122" s="234"/>
      <c r="AB122" s="233"/>
      <c r="AC122" s="234"/>
      <c r="AD122" s="233"/>
      <c r="AE122" s="234"/>
      <c r="AF122" s="233"/>
      <c r="AG122" s="234"/>
      <c r="AH122" s="233"/>
      <c r="AI122" s="233"/>
      <c r="AJ122" s="233"/>
    </row>
    <row r="123" spans="1:36" ht="25.5">
      <c r="A123" s="229">
        <v>84</v>
      </c>
      <c r="B123" s="249" t="s">
        <v>138</v>
      </c>
      <c r="C123" s="236" t="s">
        <v>134</v>
      </c>
      <c r="D123" s="229"/>
      <c r="E123" s="229"/>
      <c r="F123" s="229"/>
      <c r="G123" s="229"/>
      <c r="H123" s="229"/>
      <c r="I123" s="229"/>
      <c r="J123" s="229"/>
      <c r="K123" s="229"/>
      <c r="L123" s="229"/>
      <c r="M123" s="230"/>
      <c r="N123" s="231"/>
      <c r="O123" s="232"/>
      <c r="P123" s="232"/>
      <c r="Q123" s="233"/>
      <c r="R123" s="233"/>
      <c r="S123" s="234"/>
      <c r="T123" s="233"/>
      <c r="U123" s="234"/>
      <c r="V123" s="233"/>
      <c r="W123" s="234"/>
      <c r="X123" s="233"/>
      <c r="Y123" s="234"/>
      <c r="Z123" s="233"/>
      <c r="AA123" s="234"/>
      <c r="AB123" s="233"/>
      <c r="AC123" s="234"/>
      <c r="AD123" s="233"/>
      <c r="AE123" s="234"/>
      <c r="AF123" s="233"/>
      <c r="AG123" s="234"/>
      <c r="AH123" s="233"/>
      <c r="AI123" s="233"/>
      <c r="AJ123" s="233"/>
    </row>
    <row r="124" spans="1:36" ht="15.75" thickBot="1">
      <c r="A124" s="153"/>
      <c r="B124" s="154"/>
      <c r="C124" s="155"/>
      <c r="D124" s="156"/>
      <c r="E124" s="156"/>
      <c r="F124" s="156"/>
      <c r="G124" s="156"/>
      <c r="H124" s="156"/>
      <c r="I124" s="157"/>
      <c r="J124" s="158"/>
      <c r="K124" s="158"/>
      <c r="L124" s="158"/>
      <c r="M124" s="159"/>
      <c r="N124" s="160"/>
      <c r="O124" s="161"/>
      <c r="P124" s="161"/>
      <c r="Q124" s="162"/>
      <c r="R124" s="162"/>
      <c r="S124" s="163"/>
      <c r="T124" s="162"/>
      <c r="U124" s="163"/>
      <c r="V124" s="162"/>
      <c r="W124" s="163"/>
      <c r="X124" s="162"/>
      <c r="Y124" s="163"/>
      <c r="Z124" s="162"/>
      <c r="AA124" s="163"/>
      <c r="AB124" s="162"/>
      <c r="AC124" s="163"/>
      <c r="AD124" s="162"/>
      <c r="AE124" s="163"/>
      <c r="AF124" s="162"/>
      <c r="AG124" s="163"/>
      <c r="AH124" s="162"/>
      <c r="AI124" s="162"/>
      <c r="AJ124" s="162"/>
    </row>
    <row r="125" spans="1:22" ht="15.75" thickBot="1">
      <c r="A125" s="10" t="s">
        <v>129</v>
      </c>
      <c r="B125" s="11" t="s">
        <v>139</v>
      </c>
      <c r="C125" s="11"/>
      <c r="D125" s="99"/>
      <c r="E125" s="12"/>
      <c r="F125" s="12"/>
      <c r="G125" s="12"/>
      <c r="H125" s="12"/>
      <c r="I125" s="13"/>
      <c r="J125" s="26"/>
      <c r="K125" s="26"/>
      <c r="L125" s="26"/>
      <c r="M125" s="26"/>
      <c r="N125" s="26"/>
      <c r="O125" s="26"/>
      <c r="P125" s="27"/>
      <c r="Q125" s="32">
        <f aca="true" t="shared" si="29" ref="Q125:V125">J125*$P125/100</f>
        <v>0</v>
      </c>
      <c r="R125" s="32">
        <f t="shared" si="29"/>
        <v>0</v>
      </c>
      <c r="S125" s="32">
        <f t="shared" si="29"/>
        <v>0</v>
      </c>
      <c r="T125" s="32">
        <f t="shared" si="29"/>
        <v>0</v>
      </c>
      <c r="U125" s="32">
        <f t="shared" si="29"/>
        <v>0</v>
      </c>
      <c r="V125" s="32">
        <f t="shared" si="29"/>
        <v>0</v>
      </c>
    </row>
    <row r="126" spans="1:36" ht="26.25">
      <c r="A126" s="73">
        <v>85</v>
      </c>
      <c r="B126" s="119" t="s">
        <v>140</v>
      </c>
      <c r="C126" s="16"/>
      <c r="D126" s="79"/>
      <c r="E126" s="80"/>
      <c r="F126" s="80"/>
      <c r="G126" s="80"/>
      <c r="H126" s="80"/>
      <c r="I126" s="85"/>
      <c r="J126" s="70"/>
      <c r="K126" s="70"/>
      <c r="L126" s="70"/>
      <c r="M126" s="70"/>
      <c r="N126" s="70"/>
      <c r="O126" s="70"/>
      <c r="P126" s="71"/>
      <c r="Q126" s="72"/>
      <c r="R126" s="72"/>
      <c r="S126" s="72"/>
      <c r="T126" s="72"/>
      <c r="U126" s="72"/>
      <c r="V126" s="72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</row>
    <row r="127" spans="1:36" ht="26.25">
      <c r="A127" s="73">
        <v>86</v>
      </c>
      <c r="B127" s="119" t="s">
        <v>141</v>
      </c>
      <c r="C127" s="16"/>
      <c r="D127" s="79"/>
      <c r="E127" s="80"/>
      <c r="F127" s="80"/>
      <c r="G127" s="80"/>
      <c r="H127" s="80"/>
      <c r="I127" s="85"/>
      <c r="J127" s="70"/>
      <c r="K127" s="70"/>
      <c r="L127" s="70"/>
      <c r="M127" s="70"/>
      <c r="N127" s="70"/>
      <c r="O127" s="70"/>
      <c r="P127" s="71"/>
      <c r="Q127" s="72"/>
      <c r="R127" s="72"/>
      <c r="S127" s="72"/>
      <c r="T127" s="72"/>
      <c r="U127" s="72"/>
      <c r="V127" s="72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</row>
    <row r="128" spans="1:36" ht="26.25">
      <c r="A128" s="73">
        <v>87</v>
      </c>
      <c r="B128" s="119" t="s">
        <v>142</v>
      </c>
      <c r="C128" s="16"/>
      <c r="D128" s="79"/>
      <c r="E128" s="80"/>
      <c r="F128" s="80"/>
      <c r="G128" s="80"/>
      <c r="H128" s="80"/>
      <c r="I128" s="85"/>
      <c r="J128" s="70"/>
      <c r="K128" s="70"/>
      <c r="L128" s="70"/>
      <c r="M128" s="70"/>
      <c r="N128" s="70"/>
      <c r="O128" s="70"/>
      <c r="P128" s="71"/>
      <c r="Q128" s="72"/>
      <c r="R128" s="72"/>
      <c r="S128" s="72"/>
      <c r="T128" s="72"/>
      <c r="U128" s="72"/>
      <c r="V128" s="72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</row>
    <row r="129" spans="1:22" ht="51.75">
      <c r="A129" s="42">
        <v>88</v>
      </c>
      <c r="B129" s="164" t="s">
        <v>143</v>
      </c>
      <c r="C129" s="22"/>
      <c r="D129" s="61">
        <f>'[1]B BRE'!G18</f>
        <v>126.81810897435898</v>
      </c>
      <c r="E129" s="30">
        <f>'[1]B BRE'!K18</f>
        <v>9.79524</v>
      </c>
      <c r="F129" s="30"/>
      <c r="G129" s="30">
        <f>'[1]B BRE'!R18</f>
        <v>59.29200000000001</v>
      </c>
      <c r="H129" s="30">
        <f>'[1]B BRE'!W18</f>
        <v>90</v>
      </c>
      <c r="I129" s="31">
        <f>SUM(D129:H129)</f>
        <v>285.90534897435896</v>
      </c>
      <c r="J129" s="26">
        <f aca="true" t="shared" si="30" ref="J129:O129">D130*100/$I130</f>
        <v>8.953991789919693</v>
      </c>
      <c r="K129" s="26">
        <f t="shared" si="30"/>
        <v>11.95258040207484</v>
      </c>
      <c r="L129" s="26">
        <f t="shared" si="30"/>
        <v>0.43452627101532376</v>
      </c>
      <c r="M129" s="26">
        <f t="shared" si="30"/>
        <v>2.834067244816145</v>
      </c>
      <c r="N129" s="26">
        <f t="shared" si="30"/>
        <v>75.824834292174</v>
      </c>
      <c r="O129" s="26">
        <f t="shared" si="30"/>
        <v>100</v>
      </c>
      <c r="P129" s="27">
        <v>18.366026368566658</v>
      </c>
      <c r="Q129" s="32">
        <f aca="true" t="shared" si="31" ref="Q129:V131">J129*$P129/100</f>
        <v>1.6444924931759446</v>
      </c>
      <c r="R129" s="32">
        <f t="shared" si="31"/>
        <v>2.195214068369196</v>
      </c>
      <c r="S129" s="32">
        <f t="shared" si="31"/>
        <v>0.07980520951302378</v>
      </c>
      <c r="T129" s="32">
        <f t="shared" si="31"/>
        <v>0.5205055374858437</v>
      </c>
      <c r="U129" s="32">
        <f t="shared" si="31"/>
        <v>13.92600906002265</v>
      </c>
      <c r="V129" s="32">
        <f t="shared" si="31"/>
        <v>18.366026368566658</v>
      </c>
    </row>
    <row r="130" spans="1:22" ht="15">
      <c r="A130" s="21">
        <v>89</v>
      </c>
      <c r="B130" s="33" t="s">
        <v>144</v>
      </c>
      <c r="C130" s="33"/>
      <c r="D130" s="60">
        <f>'[1]B CB'!G21</f>
        <v>412.1266025641026</v>
      </c>
      <c r="E130" s="24">
        <f>'[1]B CB'!K21</f>
        <v>550.14305</v>
      </c>
      <c r="F130" s="24">
        <f>'[1]B CB'!M21</f>
        <v>20</v>
      </c>
      <c r="G130" s="24">
        <f>'[1]B CB'!R21</f>
        <v>130.44400000000002</v>
      </c>
      <c r="H130" s="24">
        <f>'[1]B CB'!W21</f>
        <v>3490</v>
      </c>
      <c r="I130" s="25">
        <f>SUM(D130:H130)</f>
        <v>4602.713652564103</v>
      </c>
      <c r="J130" s="26">
        <f aca="true" t="shared" si="32" ref="J130:O130">D129*100/$I129</f>
        <v>44.35667588217543</v>
      </c>
      <c r="K130" s="26">
        <f t="shared" si="32"/>
        <v>3.426042931739089</v>
      </c>
      <c r="L130" s="26">
        <f t="shared" si="32"/>
        <v>0</v>
      </c>
      <c r="M130" s="26">
        <f t="shared" si="32"/>
        <v>20.738331833489948</v>
      </c>
      <c r="N130" s="26">
        <f t="shared" si="32"/>
        <v>31.478949352595546</v>
      </c>
      <c r="O130" s="26">
        <f t="shared" si="32"/>
        <v>100</v>
      </c>
      <c r="P130" s="27"/>
      <c r="Q130" s="32">
        <f t="shared" si="31"/>
        <v>0</v>
      </c>
      <c r="R130" s="32">
        <f t="shared" si="31"/>
        <v>0</v>
      </c>
      <c r="S130" s="32">
        <f t="shared" si="31"/>
        <v>0</v>
      </c>
      <c r="T130" s="32">
        <f t="shared" si="31"/>
        <v>0</v>
      </c>
      <c r="U130" s="32">
        <f t="shared" si="31"/>
        <v>0</v>
      </c>
      <c r="V130" s="32">
        <f t="shared" si="31"/>
        <v>0</v>
      </c>
    </row>
    <row r="131" spans="1:22" ht="15.75" thickBot="1">
      <c r="A131" s="36"/>
      <c r="B131" s="97"/>
      <c r="C131" s="97"/>
      <c r="D131" s="127"/>
      <c r="E131" s="127"/>
      <c r="F131" s="127"/>
      <c r="G131" s="127"/>
      <c r="H131" s="127"/>
      <c r="I131" s="87"/>
      <c r="J131" s="26"/>
      <c r="K131" s="26"/>
      <c r="L131" s="26"/>
      <c r="M131" s="26"/>
      <c r="N131" s="26"/>
      <c r="O131" s="26"/>
      <c r="P131" s="27"/>
      <c r="Q131" s="32">
        <f t="shared" si="31"/>
        <v>0</v>
      </c>
      <c r="R131" s="32">
        <f t="shared" si="31"/>
        <v>0</v>
      </c>
      <c r="S131" s="32">
        <f t="shared" si="31"/>
        <v>0</v>
      </c>
      <c r="T131" s="32">
        <f t="shared" si="31"/>
        <v>0</v>
      </c>
      <c r="U131" s="32">
        <f t="shared" si="31"/>
        <v>0</v>
      </c>
      <c r="V131" s="32">
        <f t="shared" si="31"/>
        <v>0</v>
      </c>
    </row>
    <row r="132" spans="1:9" ht="15.75" thickBot="1">
      <c r="A132" s="10" t="s">
        <v>145</v>
      </c>
      <c r="B132" s="11" t="s">
        <v>146</v>
      </c>
      <c r="C132" s="11"/>
      <c r="D132" s="99"/>
      <c r="E132" s="12"/>
      <c r="F132" s="12"/>
      <c r="G132" s="12"/>
      <c r="H132" s="12"/>
      <c r="I132" s="12"/>
    </row>
    <row r="133" spans="1:36" ht="15.75" thickBot="1">
      <c r="A133" s="165">
        <v>90</v>
      </c>
      <c r="B133" s="152" t="s">
        <v>147</v>
      </c>
      <c r="C133" s="152"/>
      <c r="D133" s="166">
        <f>2.37*262.016369047619</f>
        <v>620.978794642857</v>
      </c>
      <c r="E133" s="167">
        <f>35*2.37</f>
        <v>82.95</v>
      </c>
      <c r="F133" s="167">
        <v>237</v>
      </c>
      <c r="G133" s="167">
        <f>88.675*2.37</f>
        <v>210.15975</v>
      </c>
      <c r="H133" s="167">
        <f>2.37*110.486461772321</f>
        <v>261.8529144004008</v>
      </c>
      <c r="I133" s="31">
        <f>SUM(D133:H133)</f>
        <v>1412.9414590432577</v>
      </c>
      <c r="J133" s="74"/>
      <c r="K133" s="74"/>
      <c r="L133" s="74"/>
      <c r="M133" s="74"/>
      <c r="N133" s="74"/>
      <c r="O133" s="74"/>
      <c r="P133" s="74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</row>
    <row r="134" spans="1:36" ht="15.75" thickBot="1">
      <c r="A134" s="93">
        <v>91</v>
      </c>
      <c r="B134" s="100" t="s">
        <v>148</v>
      </c>
      <c r="C134" s="100"/>
      <c r="D134" s="114">
        <f>2.37*524.032738095238</f>
        <v>1241.957589285714</v>
      </c>
      <c r="E134" s="115">
        <f>2.37*40</f>
        <v>94.80000000000001</v>
      </c>
      <c r="F134" s="115">
        <f>2.37*200</f>
        <v>474</v>
      </c>
      <c r="G134" s="115">
        <f>2.37*383.075</f>
        <v>907.88775</v>
      </c>
      <c r="H134" s="115">
        <f>2.37*276.216154430802</f>
        <v>654.6322860010008</v>
      </c>
      <c r="I134" s="31">
        <f>SUM(D134:H134)</f>
        <v>3373.2776252867147</v>
      </c>
      <c r="J134" s="20"/>
      <c r="K134" s="20"/>
      <c r="L134" s="20"/>
      <c r="M134" s="20"/>
      <c r="N134" s="20"/>
      <c r="O134" s="20"/>
      <c r="P134" s="20"/>
      <c r="Q134" s="168" t="s">
        <v>2</v>
      </c>
      <c r="R134" s="169" t="s">
        <v>3</v>
      </c>
      <c r="S134" s="169" t="s">
        <v>4</v>
      </c>
      <c r="T134" s="169" t="s">
        <v>5</v>
      </c>
      <c r="U134" s="169" t="s">
        <v>6</v>
      </c>
      <c r="V134" s="170" t="s">
        <v>149</v>
      </c>
      <c r="W134" s="171" t="s">
        <v>7</v>
      </c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</row>
    <row r="135" spans="1:36" ht="15">
      <c r="A135" s="93">
        <v>92</v>
      </c>
      <c r="B135" s="100" t="s">
        <v>150</v>
      </c>
      <c r="C135" s="100"/>
      <c r="D135" s="114">
        <f>2.37*655.040922619048</f>
        <v>1552.446986607144</v>
      </c>
      <c r="E135" s="115">
        <f>2.37*35</f>
        <v>82.95</v>
      </c>
      <c r="F135" s="115">
        <f>2.37*200</f>
        <v>474</v>
      </c>
      <c r="G135" s="115">
        <f>2.37*191.491666666667</f>
        <v>453.83525000000077</v>
      </c>
      <c r="H135" s="115">
        <f>2.37*276.216154430802</f>
        <v>654.6322860010008</v>
      </c>
      <c r="I135" s="31">
        <f>SUM(D135:H135)</f>
        <v>3217.8645226081458</v>
      </c>
      <c r="J135" s="20"/>
      <c r="K135" s="20"/>
      <c r="L135" s="20"/>
      <c r="M135" s="20"/>
      <c r="N135" s="20"/>
      <c r="O135" s="20"/>
      <c r="P135" s="20"/>
      <c r="Q135" s="172">
        <v>239.13768017368423</v>
      </c>
      <c r="R135" s="172">
        <v>19.557125230390955</v>
      </c>
      <c r="S135" s="172">
        <v>386.82222772760497</v>
      </c>
      <c r="T135" s="172">
        <v>639.7161725900356</v>
      </c>
      <c r="U135" s="172">
        <v>229.44816454879924</v>
      </c>
      <c r="V135" s="172">
        <v>448.7807315721984</v>
      </c>
      <c r="W135" s="86">
        <f>SUM(Q135:V135)</f>
        <v>1963.4621018427135</v>
      </c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</row>
    <row r="136" spans="1:36" ht="15">
      <c r="A136" s="93">
        <v>93</v>
      </c>
      <c r="B136" s="100" t="s">
        <v>151</v>
      </c>
      <c r="C136" s="100"/>
      <c r="D136" s="114"/>
      <c r="E136" s="115"/>
      <c r="F136" s="115"/>
      <c r="G136" s="115"/>
      <c r="H136" s="115"/>
      <c r="I136" s="115"/>
      <c r="J136" s="74"/>
      <c r="K136" s="74"/>
      <c r="L136" s="74"/>
      <c r="M136" s="74"/>
      <c r="N136" s="74"/>
      <c r="O136" s="74"/>
      <c r="P136" s="74"/>
      <c r="Q136" s="86">
        <v>236.40080246740564</v>
      </c>
      <c r="R136" s="86">
        <v>19.284355856950178</v>
      </c>
      <c r="S136" s="86">
        <v>402.9235394015743</v>
      </c>
      <c r="T136" s="86">
        <v>698.453615861586</v>
      </c>
      <c r="U136" s="86">
        <v>816.6399542373764</v>
      </c>
      <c r="V136" s="20">
        <v>434.74045356497857</v>
      </c>
      <c r="W136" s="86">
        <f>SUM(Q136:V136)</f>
        <v>2608.442721389871</v>
      </c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</row>
    <row r="137" spans="1:22" ht="15">
      <c r="A137" s="6"/>
      <c r="B137" s="7"/>
      <c r="C137" s="7"/>
      <c r="D137" s="102"/>
      <c r="E137" s="8"/>
      <c r="F137" s="8"/>
      <c r="G137" s="8"/>
      <c r="H137" s="8"/>
      <c r="I137" s="9"/>
      <c r="J137" s="26"/>
      <c r="K137" s="26"/>
      <c r="L137" s="26"/>
      <c r="M137" s="26"/>
      <c r="N137" s="26"/>
      <c r="O137" s="26"/>
      <c r="P137" s="27"/>
      <c r="Q137" s="32"/>
      <c r="R137" s="32"/>
      <c r="S137" s="32"/>
      <c r="T137" s="32"/>
      <c r="U137" s="32"/>
      <c r="V137" s="32"/>
    </row>
    <row r="138" spans="1:22" ht="15">
      <c r="A138" s="173" t="s">
        <v>152</v>
      </c>
      <c r="B138" s="174" t="s">
        <v>153</v>
      </c>
      <c r="C138" s="7"/>
      <c r="D138" s="102"/>
      <c r="E138" s="8"/>
      <c r="F138" s="8"/>
      <c r="G138" s="8"/>
      <c r="H138" s="8"/>
      <c r="I138" s="9"/>
      <c r="J138" s="26"/>
      <c r="K138" s="26"/>
      <c r="L138" s="26"/>
      <c r="M138" s="26"/>
      <c r="N138" s="26"/>
      <c r="O138" s="26"/>
      <c r="P138" s="27"/>
      <c r="Q138" s="32"/>
      <c r="R138" s="32"/>
      <c r="S138" s="32"/>
      <c r="T138" s="32"/>
      <c r="U138" s="32"/>
      <c r="V138" s="32"/>
    </row>
    <row r="139" spans="1:22" ht="45.75" thickBot="1">
      <c r="A139" s="6">
        <v>94</v>
      </c>
      <c r="B139" s="175" t="s">
        <v>154</v>
      </c>
      <c r="C139" s="176" t="s">
        <v>40</v>
      </c>
      <c r="D139" s="102">
        <v>2779.166666666667</v>
      </c>
      <c r="E139" s="8">
        <v>1854.5833333333335</v>
      </c>
      <c r="F139" s="8">
        <v>2125</v>
      </c>
      <c r="G139" s="8">
        <v>333.08</v>
      </c>
      <c r="H139" s="8">
        <v>1832.9888553318763</v>
      </c>
      <c r="I139" s="25">
        <f>SUM(D139:H139)</f>
        <v>8924.818855331876</v>
      </c>
      <c r="J139" s="26"/>
      <c r="K139" s="26"/>
      <c r="L139" s="26"/>
      <c r="M139" s="26"/>
      <c r="N139" s="26"/>
      <c r="O139" s="26"/>
      <c r="P139" s="27"/>
      <c r="Q139" s="32"/>
      <c r="R139" s="32"/>
      <c r="S139" s="32"/>
      <c r="T139" s="32"/>
      <c r="U139" s="32"/>
      <c r="V139" s="32"/>
    </row>
    <row r="140" spans="1:22" ht="15.75" thickBot="1">
      <c r="A140" s="42">
        <v>95</v>
      </c>
      <c r="B140" s="177" t="s">
        <v>155</v>
      </c>
      <c r="C140" s="22"/>
      <c r="D140" s="178">
        <v>1824.7372581845239</v>
      </c>
      <c r="E140" s="178">
        <v>1854.5833333333335</v>
      </c>
      <c r="F140" s="24">
        <v>2125</v>
      </c>
      <c r="G140" s="24">
        <v>680.4000000000001</v>
      </c>
      <c r="H140" s="24">
        <v>2185.6360819022107</v>
      </c>
      <c r="I140" s="25">
        <f>SUM(D140:H140)</f>
        <v>8670.356673420067</v>
      </c>
      <c r="J140" s="26">
        <f aca="true" t="shared" si="33" ref="J140:O140">D140*100/$I140</f>
        <v>21.045700043441776</v>
      </c>
      <c r="K140" s="26">
        <f t="shared" si="33"/>
        <v>21.38993127028745</v>
      </c>
      <c r="L140" s="26">
        <f t="shared" si="33"/>
        <v>24.508795659057736</v>
      </c>
      <c r="M140" s="26">
        <f t="shared" si="33"/>
        <v>7.847428031257829</v>
      </c>
      <c r="N140" s="26">
        <f t="shared" si="33"/>
        <v>25.208144995955227</v>
      </c>
      <c r="O140" s="26">
        <f t="shared" si="33"/>
        <v>100</v>
      </c>
      <c r="P140" s="27">
        <v>1</v>
      </c>
      <c r="Q140" s="32">
        <f aca="true" t="shared" si="34" ref="Q140:V140">J140*$P140/100</f>
        <v>0.21045700043441776</v>
      </c>
      <c r="R140" s="32">
        <f t="shared" si="34"/>
        <v>0.2138993127028745</v>
      </c>
      <c r="S140" s="32">
        <f t="shared" si="34"/>
        <v>0.24508795659057736</v>
      </c>
      <c r="T140" s="32">
        <f t="shared" si="34"/>
        <v>0.07847428031257829</v>
      </c>
      <c r="U140" s="32">
        <f t="shared" si="34"/>
        <v>0.2520814499595523</v>
      </c>
      <c r="V140" s="32">
        <f t="shared" si="34"/>
        <v>1</v>
      </c>
    </row>
    <row r="141" spans="1:36" ht="60">
      <c r="A141" s="237">
        <v>96</v>
      </c>
      <c r="B141" s="238" t="s">
        <v>156</v>
      </c>
      <c r="C141" s="236" t="s">
        <v>134</v>
      </c>
      <c r="D141" s="239"/>
      <c r="E141" s="240"/>
      <c r="F141" s="240"/>
      <c r="G141" s="240"/>
      <c r="H141" s="240"/>
      <c r="I141" s="241"/>
      <c r="J141" s="242"/>
      <c r="K141" s="242"/>
      <c r="L141" s="242"/>
      <c r="M141" s="242"/>
      <c r="N141" s="242"/>
      <c r="O141" s="242"/>
      <c r="P141" s="243"/>
      <c r="Q141" s="244"/>
      <c r="R141" s="244"/>
      <c r="S141" s="244"/>
      <c r="T141" s="244"/>
      <c r="U141" s="244"/>
      <c r="V141" s="244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45"/>
      <c r="AG141" s="245"/>
      <c r="AH141" s="245"/>
      <c r="AI141" s="245"/>
      <c r="AJ141" s="245"/>
    </row>
    <row r="142" spans="1:36" ht="30">
      <c r="A142" s="237">
        <v>97</v>
      </c>
      <c r="B142" s="238" t="s">
        <v>157</v>
      </c>
      <c r="C142" s="236" t="s">
        <v>40</v>
      </c>
      <c r="D142" s="239"/>
      <c r="E142" s="240"/>
      <c r="F142" s="240"/>
      <c r="G142" s="240"/>
      <c r="H142" s="240"/>
      <c r="I142" s="241"/>
      <c r="J142" s="246"/>
      <c r="K142" s="246"/>
      <c r="L142" s="246"/>
      <c r="M142" s="246"/>
      <c r="N142" s="246"/>
      <c r="O142" s="246"/>
      <c r="P142" s="247"/>
      <c r="Q142" s="244"/>
      <c r="R142" s="244"/>
      <c r="S142" s="244"/>
      <c r="T142" s="244"/>
      <c r="U142" s="244"/>
      <c r="V142" s="244"/>
      <c r="W142" s="245"/>
      <c r="X142" s="245"/>
      <c r="Y142" s="245"/>
      <c r="Z142" s="245"/>
      <c r="AA142" s="245"/>
      <c r="AB142" s="245"/>
      <c r="AC142" s="245"/>
      <c r="AD142" s="245"/>
      <c r="AE142" s="245"/>
      <c r="AF142" s="245"/>
      <c r="AG142" s="245"/>
      <c r="AH142" s="245"/>
      <c r="AI142" s="245"/>
      <c r="AJ142" s="245"/>
    </row>
    <row r="143" spans="1:36" ht="15">
      <c r="A143" s="179" t="s">
        <v>158</v>
      </c>
      <c r="B143" s="180" t="s">
        <v>159</v>
      </c>
      <c r="C143" s="181"/>
      <c r="D143" s="182"/>
      <c r="E143" s="183"/>
      <c r="F143" s="183"/>
      <c r="G143" s="183"/>
      <c r="H143" s="183"/>
      <c r="I143" s="184"/>
      <c r="J143" s="70"/>
      <c r="K143" s="70"/>
      <c r="L143" s="70"/>
      <c r="M143" s="70"/>
      <c r="N143" s="70"/>
      <c r="O143" s="70"/>
      <c r="P143" s="71"/>
      <c r="Q143" s="72"/>
      <c r="R143" s="72"/>
      <c r="S143" s="72"/>
      <c r="T143" s="72"/>
      <c r="U143" s="72"/>
      <c r="V143" s="72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</row>
    <row r="144" spans="1:36" ht="15">
      <c r="A144" s="179">
        <v>98</v>
      </c>
      <c r="B144" s="185" t="s">
        <v>160</v>
      </c>
      <c r="C144" s="181"/>
      <c r="D144" s="182"/>
      <c r="E144" s="183"/>
      <c r="F144" s="183"/>
      <c r="G144" s="183"/>
      <c r="H144" s="183"/>
      <c r="I144" s="184"/>
      <c r="J144" s="70"/>
      <c r="K144" s="70"/>
      <c r="L144" s="70"/>
      <c r="M144" s="70"/>
      <c r="N144" s="70"/>
      <c r="O144" s="70"/>
      <c r="P144" s="71"/>
      <c r="Q144" s="72"/>
      <c r="R144" s="72"/>
      <c r="S144" s="72"/>
      <c r="T144" s="72"/>
      <c r="U144" s="72"/>
      <c r="V144" s="72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</row>
    <row r="145" spans="1:36" ht="15">
      <c r="A145" s="179">
        <v>99</v>
      </c>
      <c r="B145" s="185" t="s">
        <v>161</v>
      </c>
      <c r="C145" s="181"/>
      <c r="D145" s="182"/>
      <c r="E145" s="183"/>
      <c r="F145" s="183"/>
      <c r="G145" s="183"/>
      <c r="H145" s="183"/>
      <c r="I145" s="184"/>
      <c r="J145" s="70"/>
      <c r="K145" s="70"/>
      <c r="L145" s="70"/>
      <c r="M145" s="70"/>
      <c r="N145" s="70"/>
      <c r="O145" s="70"/>
      <c r="P145" s="71"/>
      <c r="Q145" s="72"/>
      <c r="R145" s="72"/>
      <c r="S145" s="72"/>
      <c r="T145" s="72"/>
      <c r="U145" s="72"/>
      <c r="V145" s="72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</row>
    <row r="146" spans="1:36" ht="30">
      <c r="A146" s="179">
        <v>100</v>
      </c>
      <c r="B146" s="186" t="s">
        <v>142</v>
      </c>
      <c r="C146" s="181"/>
      <c r="D146" s="182"/>
      <c r="E146" s="183"/>
      <c r="F146" s="183"/>
      <c r="G146" s="183"/>
      <c r="H146" s="183"/>
      <c r="I146" s="184">
        <v>200</v>
      </c>
      <c r="J146" s="69"/>
      <c r="K146" s="69"/>
      <c r="L146" s="69"/>
      <c r="M146" s="69"/>
      <c r="N146" s="69"/>
      <c r="O146" s="69"/>
      <c r="P146" s="86"/>
      <c r="Q146" s="72"/>
      <c r="R146" s="72"/>
      <c r="S146" s="72"/>
      <c r="T146" s="72"/>
      <c r="U146" s="72"/>
      <c r="V146" s="72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</row>
    <row r="147" spans="1:36" ht="15">
      <c r="A147" s="179">
        <v>101</v>
      </c>
      <c r="B147" s="186" t="s">
        <v>162</v>
      </c>
      <c r="C147" s="181"/>
      <c r="D147" s="182"/>
      <c r="E147" s="183"/>
      <c r="F147" s="183"/>
      <c r="G147" s="183"/>
      <c r="H147" s="183"/>
      <c r="I147" s="184"/>
      <c r="J147" s="70"/>
      <c r="K147" s="70"/>
      <c r="L147" s="70"/>
      <c r="M147" s="70"/>
      <c r="N147" s="70"/>
      <c r="O147" s="70"/>
      <c r="P147" s="71"/>
      <c r="Q147" s="72"/>
      <c r="R147" s="72"/>
      <c r="S147" s="72"/>
      <c r="T147" s="72"/>
      <c r="U147" s="72"/>
      <c r="V147" s="72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</row>
    <row r="148" spans="1:36" ht="15">
      <c r="A148" s="179" t="s">
        <v>163</v>
      </c>
      <c r="B148" s="180" t="s">
        <v>164</v>
      </c>
      <c r="C148" s="181"/>
      <c r="D148" s="182"/>
      <c r="E148" s="183"/>
      <c r="F148" s="183"/>
      <c r="G148" s="183"/>
      <c r="H148" s="183"/>
      <c r="I148" s="184"/>
      <c r="J148" s="70"/>
      <c r="K148" s="70"/>
      <c r="L148" s="70"/>
      <c r="M148" s="70"/>
      <c r="N148" s="70"/>
      <c r="O148" s="70"/>
      <c r="P148" s="71"/>
      <c r="Q148" s="72"/>
      <c r="R148" s="72"/>
      <c r="S148" s="72"/>
      <c r="T148" s="72"/>
      <c r="U148" s="72"/>
      <c r="V148" s="72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</row>
    <row r="149" spans="1:36" ht="30">
      <c r="A149" s="179">
        <v>102</v>
      </c>
      <c r="B149" s="186" t="s">
        <v>165</v>
      </c>
      <c r="C149" s="181"/>
      <c r="D149" s="182"/>
      <c r="E149" s="183"/>
      <c r="F149" s="183"/>
      <c r="G149" s="183"/>
      <c r="H149" s="183"/>
      <c r="I149" s="184"/>
      <c r="J149" s="70"/>
      <c r="K149" s="70"/>
      <c r="L149" s="70"/>
      <c r="M149" s="70"/>
      <c r="N149" s="70"/>
      <c r="O149" s="70"/>
      <c r="P149" s="71"/>
      <c r="Q149" s="72"/>
      <c r="R149" s="72"/>
      <c r="S149" s="72"/>
      <c r="T149" s="72"/>
      <c r="U149" s="72"/>
      <c r="V149" s="72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</row>
    <row r="150" spans="1:36" ht="15">
      <c r="A150" s="179">
        <v>103</v>
      </c>
      <c r="B150" s="186" t="s">
        <v>166</v>
      </c>
      <c r="C150" s="181"/>
      <c r="D150" s="182"/>
      <c r="E150" s="183"/>
      <c r="F150" s="183"/>
      <c r="G150" s="183"/>
      <c r="H150" s="183"/>
      <c r="I150" s="184"/>
      <c r="J150" s="70"/>
      <c r="K150" s="70"/>
      <c r="L150" s="70"/>
      <c r="M150" s="70"/>
      <c r="N150" s="70"/>
      <c r="O150" s="70"/>
      <c r="P150" s="71"/>
      <c r="Q150" s="72"/>
      <c r="R150" s="72"/>
      <c r="S150" s="72"/>
      <c r="T150" s="72"/>
      <c r="U150" s="72"/>
      <c r="V150" s="72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</row>
    <row r="151" spans="1:36" ht="30.75" thickBot="1">
      <c r="A151" s="179">
        <v>104</v>
      </c>
      <c r="B151" s="186" t="s">
        <v>167</v>
      </c>
      <c r="C151" s="181"/>
      <c r="D151" s="182"/>
      <c r="E151" s="183"/>
      <c r="F151" s="183"/>
      <c r="G151" s="183"/>
      <c r="H151" s="183"/>
      <c r="I151" s="184"/>
      <c r="J151" s="70"/>
      <c r="K151" s="70"/>
      <c r="L151" s="70"/>
      <c r="M151" s="70"/>
      <c r="N151" s="70"/>
      <c r="O151" s="70"/>
      <c r="P151" s="71"/>
      <c r="Q151" s="72"/>
      <c r="R151" s="72"/>
      <c r="S151" s="72"/>
      <c r="T151" s="72"/>
      <c r="U151" s="72"/>
      <c r="V151" s="72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</row>
    <row r="152" spans="1:36" ht="30.75" thickBot="1">
      <c r="A152" s="103">
        <v>105</v>
      </c>
      <c r="B152" s="186" t="s">
        <v>142</v>
      </c>
      <c r="C152" s="104"/>
      <c r="D152" s="105"/>
      <c r="E152" s="106"/>
      <c r="F152" s="106"/>
      <c r="G152" s="106"/>
      <c r="H152" s="106"/>
      <c r="I152" s="187">
        <v>100</v>
      </c>
      <c r="J152" s="69"/>
      <c r="K152" s="69"/>
      <c r="L152" s="69"/>
      <c r="M152" s="69"/>
      <c r="N152" s="69"/>
      <c r="O152" s="69"/>
      <c r="P152" s="86"/>
      <c r="Q152" s="72">
        <f aca="true" t="shared" si="35" ref="Q152:V152">J152*$P152/100</f>
        <v>0</v>
      </c>
      <c r="R152" s="72">
        <f t="shared" si="35"/>
        <v>0</v>
      </c>
      <c r="S152" s="72">
        <f t="shared" si="35"/>
        <v>0</v>
      </c>
      <c r="T152" s="72">
        <f t="shared" si="35"/>
        <v>0</v>
      </c>
      <c r="U152" s="72">
        <f t="shared" si="35"/>
        <v>0</v>
      </c>
      <c r="V152" s="72">
        <f t="shared" si="35"/>
        <v>0</v>
      </c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</row>
    <row r="153" spans="1:36" ht="15">
      <c r="A153" s="188" t="s">
        <v>168</v>
      </c>
      <c r="B153" s="180" t="s">
        <v>169</v>
      </c>
      <c r="C153" s="74"/>
      <c r="D153" s="17"/>
      <c r="E153" s="17"/>
      <c r="F153" s="17"/>
      <c r="G153" s="17"/>
      <c r="H153" s="17"/>
      <c r="I153" s="74"/>
      <c r="J153" s="74"/>
      <c r="K153" s="74"/>
      <c r="L153" s="74"/>
      <c r="M153" s="74"/>
      <c r="N153" s="74"/>
      <c r="O153" s="74"/>
      <c r="P153" s="74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</row>
    <row r="154" spans="1:36" ht="30">
      <c r="A154" s="179">
        <v>106</v>
      </c>
      <c r="B154" s="186" t="s">
        <v>170</v>
      </c>
      <c r="C154" s="74"/>
      <c r="D154" s="17"/>
      <c r="E154" s="17"/>
      <c r="F154" s="17"/>
      <c r="G154" s="17"/>
      <c r="H154" s="17"/>
      <c r="I154" s="74"/>
      <c r="J154" s="74"/>
      <c r="K154" s="74"/>
      <c r="L154" s="74"/>
      <c r="M154" s="74"/>
      <c r="N154" s="74"/>
      <c r="O154" s="74"/>
      <c r="P154" s="74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</row>
    <row r="155" spans="1:36" ht="45">
      <c r="A155" s="179">
        <v>107</v>
      </c>
      <c r="B155" s="185" t="s">
        <v>171</v>
      </c>
      <c r="C155" s="74"/>
      <c r="D155" s="17"/>
      <c r="E155" s="17"/>
      <c r="F155" s="17"/>
      <c r="G155" s="17"/>
      <c r="H155" s="17"/>
      <c r="I155" s="74"/>
      <c r="J155" s="74"/>
      <c r="K155" s="74"/>
      <c r="L155" s="74"/>
      <c r="M155" s="74"/>
      <c r="N155" s="74"/>
      <c r="O155" s="74"/>
      <c r="P155" s="74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</row>
    <row r="156" spans="1:36" ht="15">
      <c r="A156" s="189"/>
      <c r="B156" s="185"/>
      <c r="C156" s="74"/>
      <c r="D156" s="17"/>
      <c r="E156" s="17"/>
      <c r="F156" s="17"/>
      <c r="G156" s="17"/>
      <c r="H156" s="17"/>
      <c r="I156" s="74"/>
      <c r="J156" s="74"/>
      <c r="K156" s="74"/>
      <c r="L156" s="74"/>
      <c r="M156" s="74"/>
      <c r="N156" s="74"/>
      <c r="O156" s="74"/>
      <c r="P156" s="74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</row>
    <row r="157" spans="1:36" ht="15">
      <c r="A157" s="226" t="s">
        <v>172</v>
      </c>
      <c r="B157" s="227" t="s">
        <v>173</v>
      </c>
      <c r="C157" s="228"/>
      <c r="D157" s="229"/>
      <c r="E157" s="229"/>
      <c r="F157" s="229"/>
      <c r="G157" s="229"/>
      <c r="H157" s="229"/>
      <c r="I157" s="229"/>
      <c r="J157" s="229"/>
      <c r="K157" s="229"/>
      <c r="L157" s="229"/>
      <c r="M157" s="230"/>
      <c r="N157" s="231"/>
      <c r="O157" s="232"/>
      <c r="P157" s="232"/>
      <c r="Q157" s="233"/>
      <c r="R157" s="233"/>
      <c r="S157" s="234"/>
      <c r="T157" s="233"/>
      <c r="U157" s="234"/>
      <c r="V157" s="233"/>
      <c r="W157" s="234"/>
      <c r="X157" s="233"/>
      <c r="Y157" s="234"/>
      <c r="Z157" s="233"/>
      <c r="AA157" s="234"/>
      <c r="AB157" s="233"/>
      <c r="AC157" s="234"/>
      <c r="AD157" s="233"/>
      <c r="AE157" s="234"/>
      <c r="AF157" s="233"/>
      <c r="AG157" s="234"/>
      <c r="AH157" s="233"/>
      <c r="AI157" s="233"/>
      <c r="AJ157" s="233"/>
    </row>
    <row r="158" spans="1:36" ht="45">
      <c r="A158" s="229">
        <v>108</v>
      </c>
      <c r="B158" s="235" t="s">
        <v>174</v>
      </c>
      <c r="C158" s="236" t="s">
        <v>42</v>
      </c>
      <c r="D158" s="229"/>
      <c r="E158" s="229"/>
      <c r="F158" s="229"/>
      <c r="G158" s="229"/>
      <c r="H158" s="229"/>
      <c r="I158" s="229"/>
      <c r="J158" s="229"/>
      <c r="K158" s="229"/>
      <c r="L158" s="229"/>
      <c r="M158" s="230"/>
      <c r="N158" s="231"/>
      <c r="O158" s="232"/>
      <c r="P158" s="232"/>
      <c r="Q158" s="233"/>
      <c r="R158" s="233"/>
      <c r="S158" s="234"/>
      <c r="T158" s="233"/>
      <c r="U158" s="234"/>
      <c r="V158" s="233"/>
      <c r="W158" s="234"/>
      <c r="X158" s="233"/>
      <c r="Y158" s="234"/>
      <c r="Z158" s="233"/>
      <c r="AA158" s="234"/>
      <c r="AB158" s="233"/>
      <c r="AC158" s="234"/>
      <c r="AD158" s="233"/>
      <c r="AE158" s="234"/>
      <c r="AF158" s="233"/>
      <c r="AG158" s="234"/>
      <c r="AH158" s="233"/>
      <c r="AI158" s="233"/>
      <c r="AJ158" s="233"/>
    </row>
    <row r="159" spans="1:36" ht="105">
      <c r="A159" s="229">
        <v>109</v>
      </c>
      <c r="B159" s="235" t="s">
        <v>175</v>
      </c>
      <c r="C159" s="236" t="s">
        <v>40</v>
      </c>
      <c r="D159" s="229"/>
      <c r="E159" s="229"/>
      <c r="F159" s="229"/>
      <c r="G159" s="229"/>
      <c r="H159" s="229"/>
      <c r="I159" s="229"/>
      <c r="J159" s="229"/>
      <c r="K159" s="229"/>
      <c r="L159" s="229"/>
      <c r="M159" s="230"/>
      <c r="N159" s="231"/>
      <c r="O159" s="232"/>
      <c r="P159" s="232"/>
      <c r="Q159" s="233"/>
      <c r="R159" s="233"/>
      <c r="S159" s="234"/>
      <c r="T159" s="233"/>
      <c r="U159" s="234"/>
      <c r="V159" s="233"/>
      <c r="W159" s="234"/>
      <c r="X159" s="233"/>
      <c r="Y159" s="234"/>
      <c r="Z159" s="233"/>
      <c r="AA159" s="234"/>
      <c r="AB159" s="233"/>
      <c r="AC159" s="234"/>
      <c r="AD159" s="233"/>
      <c r="AE159" s="234"/>
      <c r="AF159" s="233"/>
      <c r="AG159" s="234"/>
      <c r="AH159" s="233"/>
      <c r="AI159" s="233"/>
      <c r="AJ159" s="233"/>
    </row>
    <row r="160" spans="1:36" ht="45">
      <c r="A160" s="229">
        <v>110</v>
      </c>
      <c r="B160" s="235" t="s">
        <v>176</v>
      </c>
      <c r="C160" s="236" t="s">
        <v>40</v>
      </c>
      <c r="D160" s="229"/>
      <c r="E160" s="229"/>
      <c r="F160" s="229"/>
      <c r="G160" s="229"/>
      <c r="H160" s="229"/>
      <c r="I160" s="229"/>
      <c r="J160" s="229"/>
      <c r="K160" s="229"/>
      <c r="L160" s="229"/>
      <c r="M160" s="230"/>
      <c r="N160" s="231"/>
      <c r="O160" s="232"/>
      <c r="P160" s="232"/>
      <c r="Q160" s="233"/>
      <c r="R160" s="233"/>
      <c r="S160" s="234"/>
      <c r="T160" s="233"/>
      <c r="U160" s="234"/>
      <c r="V160" s="233"/>
      <c r="W160" s="234"/>
      <c r="X160" s="233"/>
      <c r="Y160" s="234"/>
      <c r="Z160" s="233"/>
      <c r="AA160" s="234"/>
      <c r="AB160" s="233"/>
      <c r="AC160" s="234"/>
      <c r="AD160" s="233"/>
      <c r="AE160" s="234"/>
      <c r="AF160" s="233"/>
      <c r="AG160" s="234"/>
      <c r="AH160" s="233"/>
      <c r="AI160" s="233"/>
      <c r="AJ160" s="233"/>
    </row>
    <row r="161" spans="1:36" ht="15">
      <c r="A161" s="226" t="s">
        <v>177</v>
      </c>
      <c r="B161" s="227" t="s">
        <v>178</v>
      </c>
      <c r="C161" s="228"/>
      <c r="D161" s="229"/>
      <c r="E161" s="229"/>
      <c r="F161" s="229"/>
      <c r="G161" s="229"/>
      <c r="H161" s="229"/>
      <c r="I161" s="229"/>
      <c r="J161" s="229"/>
      <c r="K161" s="229"/>
      <c r="L161" s="229"/>
      <c r="M161" s="230"/>
      <c r="N161" s="231"/>
      <c r="O161" s="232"/>
      <c r="P161" s="232"/>
      <c r="Q161" s="233"/>
      <c r="R161" s="233"/>
      <c r="S161" s="234"/>
      <c r="T161" s="233"/>
      <c r="U161" s="234"/>
      <c r="V161" s="233"/>
      <c r="W161" s="234"/>
      <c r="X161" s="233"/>
      <c r="Y161" s="234"/>
      <c r="Z161" s="233"/>
      <c r="AA161" s="234"/>
      <c r="AB161" s="233"/>
      <c r="AC161" s="234"/>
      <c r="AD161" s="233"/>
      <c r="AE161" s="234"/>
      <c r="AF161" s="233"/>
      <c r="AG161" s="234"/>
      <c r="AH161" s="233"/>
      <c r="AI161" s="233"/>
      <c r="AJ161" s="233"/>
    </row>
    <row r="162" spans="1:36" ht="15">
      <c r="A162" s="229">
        <v>111</v>
      </c>
      <c r="B162" s="235" t="s">
        <v>179</v>
      </c>
      <c r="C162" s="236" t="s">
        <v>40</v>
      </c>
      <c r="D162" s="229"/>
      <c r="E162" s="229"/>
      <c r="F162" s="229"/>
      <c r="G162" s="229"/>
      <c r="H162" s="229"/>
      <c r="I162" s="229"/>
      <c r="J162" s="229"/>
      <c r="K162" s="229"/>
      <c r="L162" s="229"/>
      <c r="M162" s="230"/>
      <c r="N162" s="231"/>
      <c r="O162" s="232"/>
      <c r="P162" s="232"/>
      <c r="Q162" s="233"/>
      <c r="R162" s="233"/>
      <c r="S162" s="234"/>
      <c r="T162" s="233"/>
      <c r="U162" s="234"/>
      <c r="V162" s="233"/>
      <c r="W162" s="234"/>
      <c r="X162" s="233"/>
      <c r="Y162" s="234"/>
      <c r="Z162" s="233"/>
      <c r="AA162" s="234"/>
      <c r="AB162" s="233"/>
      <c r="AC162" s="234"/>
      <c r="AD162" s="233"/>
      <c r="AE162" s="234"/>
      <c r="AF162" s="233"/>
      <c r="AG162" s="234"/>
      <c r="AH162" s="233"/>
      <c r="AI162" s="233"/>
      <c r="AJ162" s="233"/>
    </row>
    <row r="163" spans="1:36" ht="45">
      <c r="A163" s="229">
        <v>112</v>
      </c>
      <c r="B163" s="235" t="s">
        <v>180</v>
      </c>
      <c r="C163" s="236" t="s">
        <v>40</v>
      </c>
      <c r="D163" s="229"/>
      <c r="E163" s="229"/>
      <c r="F163" s="229"/>
      <c r="G163" s="229"/>
      <c r="H163" s="229"/>
      <c r="I163" s="229"/>
      <c r="J163" s="229"/>
      <c r="K163" s="229"/>
      <c r="L163" s="229"/>
      <c r="M163" s="230"/>
      <c r="N163" s="231"/>
      <c r="O163" s="232"/>
      <c r="P163" s="232"/>
      <c r="Q163" s="233"/>
      <c r="R163" s="233"/>
      <c r="S163" s="234"/>
      <c r="T163" s="233"/>
      <c r="U163" s="234"/>
      <c r="V163" s="233"/>
      <c r="W163" s="234"/>
      <c r="X163" s="233"/>
      <c r="Y163" s="234"/>
      <c r="Z163" s="233"/>
      <c r="AA163" s="234"/>
      <c r="AB163" s="233"/>
      <c r="AC163" s="234"/>
      <c r="AD163" s="233"/>
      <c r="AE163" s="234"/>
      <c r="AF163" s="233"/>
      <c r="AG163" s="234"/>
      <c r="AH163" s="233"/>
      <c r="AI163" s="233"/>
      <c r="AJ163" s="233"/>
    </row>
    <row r="164" spans="1:36" ht="90">
      <c r="A164" s="229">
        <v>113</v>
      </c>
      <c r="B164" s="235" t="s">
        <v>181</v>
      </c>
      <c r="C164" s="236" t="s">
        <v>42</v>
      </c>
      <c r="D164" s="229"/>
      <c r="E164" s="229"/>
      <c r="F164" s="229"/>
      <c r="G164" s="229"/>
      <c r="H164" s="229"/>
      <c r="I164" s="229"/>
      <c r="J164" s="229"/>
      <c r="K164" s="229"/>
      <c r="L164" s="229"/>
      <c r="M164" s="230"/>
      <c r="N164" s="231"/>
      <c r="O164" s="232"/>
      <c r="P164" s="232"/>
      <c r="Q164" s="233"/>
      <c r="R164" s="233"/>
      <c r="S164" s="234"/>
      <c r="T164" s="233"/>
      <c r="U164" s="234"/>
      <c r="V164" s="233"/>
      <c r="W164" s="234"/>
      <c r="X164" s="233"/>
      <c r="Y164" s="234"/>
      <c r="Z164" s="233"/>
      <c r="AA164" s="234"/>
      <c r="AB164" s="233"/>
      <c r="AC164" s="234"/>
      <c r="AD164" s="233"/>
      <c r="AE164" s="234"/>
      <c r="AF164" s="233"/>
      <c r="AG164" s="234"/>
      <c r="AH164" s="233"/>
      <c r="AI164" s="233"/>
      <c r="AJ164" s="233"/>
    </row>
    <row r="165" spans="1:36" ht="15">
      <c r="A165" s="226" t="s">
        <v>182</v>
      </c>
      <c r="B165" s="227" t="s">
        <v>183</v>
      </c>
      <c r="C165" s="228"/>
      <c r="D165" s="229"/>
      <c r="E165" s="229"/>
      <c r="F165" s="229"/>
      <c r="G165" s="229"/>
      <c r="H165" s="229"/>
      <c r="I165" s="229"/>
      <c r="J165" s="229"/>
      <c r="K165" s="229"/>
      <c r="L165" s="229"/>
      <c r="M165" s="230"/>
      <c r="N165" s="231"/>
      <c r="O165" s="232"/>
      <c r="P165" s="232"/>
      <c r="Q165" s="233"/>
      <c r="R165" s="233"/>
      <c r="S165" s="234"/>
      <c r="T165" s="233"/>
      <c r="U165" s="234"/>
      <c r="V165" s="233"/>
      <c r="W165" s="234"/>
      <c r="X165" s="233"/>
      <c r="Y165" s="234"/>
      <c r="Z165" s="233"/>
      <c r="AA165" s="234"/>
      <c r="AB165" s="233"/>
      <c r="AC165" s="234"/>
      <c r="AD165" s="233"/>
      <c r="AE165" s="234"/>
      <c r="AF165" s="233"/>
      <c r="AG165" s="234"/>
      <c r="AH165" s="233"/>
      <c r="AI165" s="233"/>
      <c r="AJ165" s="233"/>
    </row>
    <row r="166" spans="1:36" ht="15">
      <c r="A166" s="229">
        <v>114</v>
      </c>
      <c r="B166" s="235" t="s">
        <v>184</v>
      </c>
      <c r="C166" s="236" t="s">
        <v>40</v>
      </c>
      <c r="D166" s="229"/>
      <c r="E166" s="229"/>
      <c r="F166" s="229"/>
      <c r="G166" s="229"/>
      <c r="H166" s="229"/>
      <c r="I166" s="229"/>
      <c r="J166" s="229"/>
      <c r="K166" s="229"/>
      <c r="L166" s="229"/>
      <c r="M166" s="230"/>
      <c r="N166" s="231"/>
      <c r="O166" s="232"/>
      <c r="P166" s="232"/>
      <c r="Q166" s="233"/>
      <c r="R166" s="233"/>
      <c r="S166" s="234"/>
      <c r="T166" s="233"/>
      <c r="U166" s="234"/>
      <c r="V166" s="233"/>
      <c r="W166" s="234"/>
      <c r="X166" s="233"/>
      <c r="Y166" s="234"/>
      <c r="Z166" s="233"/>
      <c r="AA166" s="234"/>
      <c r="AB166" s="233"/>
      <c r="AC166" s="234"/>
      <c r="AD166" s="233"/>
      <c r="AE166" s="234"/>
      <c r="AF166" s="233"/>
      <c r="AG166" s="234"/>
      <c r="AH166" s="233"/>
      <c r="AI166" s="233"/>
      <c r="AJ166" s="233"/>
    </row>
    <row r="167" spans="1:36" ht="60">
      <c r="A167" s="229">
        <v>115</v>
      </c>
      <c r="B167" s="235" t="s">
        <v>185</v>
      </c>
      <c r="C167" s="236" t="s">
        <v>40</v>
      </c>
      <c r="D167" s="229"/>
      <c r="E167" s="229"/>
      <c r="F167" s="229"/>
      <c r="G167" s="229"/>
      <c r="H167" s="229"/>
      <c r="I167" s="229"/>
      <c r="J167" s="229"/>
      <c r="K167" s="229"/>
      <c r="L167" s="229"/>
      <c r="M167" s="230"/>
      <c r="N167" s="231"/>
      <c r="O167" s="232"/>
      <c r="P167" s="232"/>
      <c r="Q167" s="233"/>
      <c r="R167" s="233"/>
      <c r="S167" s="234"/>
      <c r="T167" s="233"/>
      <c r="U167" s="234"/>
      <c r="V167" s="233"/>
      <c r="W167" s="234"/>
      <c r="X167" s="233"/>
      <c r="Y167" s="234"/>
      <c r="Z167" s="233"/>
      <c r="AA167" s="234"/>
      <c r="AB167" s="233"/>
      <c r="AC167" s="234"/>
      <c r="AD167" s="233"/>
      <c r="AE167" s="234"/>
      <c r="AF167" s="233"/>
      <c r="AG167" s="234"/>
      <c r="AH167" s="233"/>
      <c r="AI167" s="233"/>
      <c r="AJ167" s="233"/>
    </row>
    <row r="168" spans="1:9" ht="15.75" thickBot="1">
      <c r="A168" s="87"/>
      <c r="B168" s="87"/>
      <c r="C168" s="87"/>
      <c r="D168" s="127"/>
      <c r="E168" s="127"/>
      <c r="F168" s="127"/>
      <c r="G168" s="127"/>
      <c r="H168" s="127"/>
      <c r="I168" s="87"/>
    </row>
    <row r="169" spans="1:22" ht="15.75" thickBot="1">
      <c r="A169" s="10" t="s">
        <v>186</v>
      </c>
      <c r="B169" s="11" t="s">
        <v>187</v>
      </c>
      <c r="C169" s="11"/>
      <c r="D169" s="99"/>
      <c r="E169" s="12"/>
      <c r="F169" s="12"/>
      <c r="G169" s="12"/>
      <c r="H169" s="12"/>
      <c r="I169" s="13"/>
      <c r="J169" s="26"/>
      <c r="K169" s="26"/>
      <c r="L169" s="26"/>
      <c r="M169" s="26"/>
      <c r="N169" s="26"/>
      <c r="O169" s="26"/>
      <c r="P169" s="27"/>
      <c r="Q169" s="32">
        <f aca="true" t="shared" si="36" ref="Q169:V169">J169*$P169/100</f>
        <v>0</v>
      </c>
      <c r="R169" s="32">
        <f t="shared" si="36"/>
        <v>0</v>
      </c>
      <c r="S169" s="32">
        <f t="shared" si="36"/>
        <v>0</v>
      </c>
      <c r="T169" s="32">
        <f t="shared" si="36"/>
        <v>0</v>
      </c>
      <c r="U169" s="32">
        <f t="shared" si="36"/>
        <v>0</v>
      </c>
      <c r="V169" s="32">
        <f t="shared" si="36"/>
        <v>0</v>
      </c>
    </row>
    <row r="170" spans="1:22" ht="15">
      <c r="A170" s="42">
        <v>116</v>
      </c>
      <c r="B170" s="87" t="s">
        <v>188</v>
      </c>
      <c r="C170" s="88"/>
      <c r="D170" s="89"/>
      <c r="E170" s="90"/>
      <c r="F170" s="90"/>
      <c r="G170" s="90"/>
      <c r="H170" s="90"/>
      <c r="I170" s="91"/>
      <c r="J170" s="26"/>
      <c r="K170" s="26"/>
      <c r="L170" s="26"/>
      <c r="M170" s="26"/>
      <c r="N170" s="26"/>
      <c r="O170" s="26"/>
      <c r="P170" s="27"/>
      <c r="Q170" s="32"/>
      <c r="R170" s="32"/>
      <c r="S170" s="32"/>
      <c r="T170" s="32"/>
      <c r="U170" s="32"/>
      <c r="V170" s="32"/>
    </row>
    <row r="171" spans="1:22" ht="15">
      <c r="A171" s="42">
        <v>117</v>
      </c>
      <c r="B171" s="88" t="s">
        <v>189</v>
      </c>
      <c r="C171" s="88"/>
      <c r="D171" s="89"/>
      <c r="E171" s="90"/>
      <c r="F171" s="90"/>
      <c r="G171" s="90"/>
      <c r="H171" s="90"/>
      <c r="I171" s="91"/>
      <c r="J171" s="26"/>
      <c r="K171" s="26"/>
      <c r="L171" s="26"/>
      <c r="M171" s="26"/>
      <c r="N171" s="26"/>
      <c r="O171" s="26"/>
      <c r="P171" s="27"/>
      <c r="Q171" s="32"/>
      <c r="R171" s="32"/>
      <c r="S171" s="32"/>
      <c r="T171" s="32"/>
      <c r="U171" s="32"/>
      <c r="V171" s="32"/>
    </row>
    <row r="172" spans="1:22" ht="15">
      <c r="A172" s="21" t="s">
        <v>190</v>
      </c>
      <c r="B172" s="190" t="s">
        <v>191</v>
      </c>
      <c r="C172" s="190"/>
      <c r="D172" s="191"/>
      <c r="E172" s="192"/>
      <c r="F172" s="192"/>
      <c r="G172" s="192"/>
      <c r="H172" s="192"/>
      <c r="I172" s="193"/>
      <c r="J172" s="26"/>
      <c r="K172" s="26"/>
      <c r="L172" s="26"/>
      <c r="M172" s="26"/>
      <c r="N172" s="26"/>
      <c r="O172" s="26"/>
      <c r="P172" s="27"/>
      <c r="Q172" s="32">
        <f aca="true" t="shared" si="37" ref="Q172:V185">J172*$P172/100</f>
        <v>0</v>
      </c>
      <c r="R172" s="32">
        <f t="shared" si="37"/>
        <v>0</v>
      </c>
      <c r="S172" s="32">
        <f t="shared" si="37"/>
        <v>0</v>
      </c>
      <c r="T172" s="32">
        <f t="shared" si="37"/>
        <v>0</v>
      </c>
      <c r="U172" s="32">
        <f t="shared" si="37"/>
        <v>0</v>
      </c>
      <c r="V172" s="32">
        <f t="shared" si="37"/>
        <v>0</v>
      </c>
    </row>
    <row r="173" spans="1:22" ht="15">
      <c r="A173" s="21">
        <v>118</v>
      </c>
      <c r="B173" s="194" t="s">
        <v>192</v>
      </c>
      <c r="C173" s="194"/>
      <c r="D173" s="195">
        <f>'[1]M S'!G14</f>
        <v>559.3349358974359</v>
      </c>
      <c r="E173" s="196"/>
      <c r="F173" s="196"/>
      <c r="G173" s="196"/>
      <c r="H173" s="196">
        <f>'[1]M S'!W14</f>
        <v>900</v>
      </c>
      <c r="I173" s="197">
        <f>SUM(D173:H173)</f>
        <v>1459.334935897436</v>
      </c>
      <c r="J173" s="26">
        <f aca="true" t="shared" si="38" ref="J173:O174">D173*100/$I173</f>
        <v>38.32807137954701</v>
      </c>
      <c r="K173" s="26">
        <f t="shared" si="38"/>
        <v>0</v>
      </c>
      <c r="L173" s="26">
        <f t="shared" si="38"/>
        <v>0</v>
      </c>
      <c r="M173" s="26">
        <f t="shared" si="38"/>
        <v>0</v>
      </c>
      <c r="N173" s="26">
        <f t="shared" si="38"/>
        <v>61.67192862045298</v>
      </c>
      <c r="O173" s="26">
        <f t="shared" si="38"/>
        <v>100</v>
      </c>
      <c r="P173" s="27">
        <v>0.9047649471014705</v>
      </c>
      <c r="Q173" s="32">
        <f t="shared" si="37"/>
        <v>0.34677895474217235</v>
      </c>
      <c r="R173" s="32">
        <f t="shared" si="37"/>
        <v>0</v>
      </c>
      <c r="S173" s="32">
        <f t="shared" si="37"/>
        <v>0</v>
      </c>
      <c r="T173" s="32">
        <f t="shared" si="37"/>
        <v>0</v>
      </c>
      <c r="U173" s="32">
        <f t="shared" si="37"/>
        <v>0.557985992359298</v>
      </c>
      <c r="V173" s="32">
        <f t="shared" si="37"/>
        <v>0.9047649471014705</v>
      </c>
    </row>
    <row r="174" spans="1:22" ht="15">
      <c r="A174" s="21">
        <v>119</v>
      </c>
      <c r="B174" s="194" t="s">
        <v>193</v>
      </c>
      <c r="C174" s="194"/>
      <c r="D174" s="195">
        <f>'[1]M S'!G23</f>
        <v>2888.2371794871797</v>
      </c>
      <c r="E174" s="196">
        <f>'[1]M S'!K23</f>
        <v>130.13</v>
      </c>
      <c r="F174" s="196"/>
      <c r="G174" s="196"/>
      <c r="H174" s="196">
        <f>'[1]M S'!W23</f>
        <v>6400</v>
      </c>
      <c r="I174" s="197">
        <f>SUM(D174:H174)</f>
        <v>9418.36717948718</v>
      </c>
      <c r="J174" s="41">
        <f t="shared" si="38"/>
        <v>30.666007434681912</v>
      </c>
      <c r="K174" s="41">
        <f t="shared" si="38"/>
        <v>1.3816619963959127</v>
      </c>
      <c r="L174" s="41">
        <f t="shared" si="38"/>
        <v>0</v>
      </c>
      <c r="M174" s="41">
        <f t="shared" si="38"/>
        <v>0</v>
      </c>
      <c r="N174" s="41">
        <f t="shared" si="38"/>
        <v>67.95233056892216</v>
      </c>
      <c r="O174" s="41">
        <f t="shared" si="38"/>
        <v>100</v>
      </c>
      <c r="P174" s="62">
        <v>0.44260883859414785</v>
      </c>
      <c r="Q174" s="32">
        <f t="shared" si="37"/>
        <v>0.13573045934984063</v>
      </c>
      <c r="R174" s="32">
        <f t="shared" si="37"/>
        <v>0.006115358115544665</v>
      </c>
      <c r="S174" s="32">
        <f t="shared" si="37"/>
        <v>0</v>
      </c>
      <c r="T174" s="32">
        <f t="shared" si="37"/>
        <v>0</v>
      </c>
      <c r="U174" s="32">
        <f t="shared" si="37"/>
        <v>0.30076302112876246</v>
      </c>
      <c r="V174" s="32">
        <f t="shared" si="37"/>
        <v>0.44260883859414785</v>
      </c>
    </row>
    <row r="175" spans="1:22" ht="15">
      <c r="A175" s="21">
        <v>120</v>
      </c>
      <c r="B175" s="33" t="s">
        <v>194</v>
      </c>
      <c r="C175" s="33"/>
      <c r="D175" s="198"/>
      <c r="E175" s="199"/>
      <c r="F175" s="199"/>
      <c r="G175" s="199"/>
      <c r="H175" s="199"/>
      <c r="I175" s="200"/>
      <c r="J175" s="26"/>
      <c r="K175" s="26"/>
      <c r="L175" s="26"/>
      <c r="M175" s="26"/>
      <c r="N175" s="26"/>
      <c r="O175" s="26"/>
      <c r="P175" s="27"/>
      <c r="Q175" s="32">
        <f t="shared" si="37"/>
        <v>0</v>
      </c>
      <c r="R175" s="32">
        <f t="shared" si="37"/>
        <v>0</v>
      </c>
      <c r="S175" s="32">
        <f t="shared" si="37"/>
        <v>0</v>
      </c>
      <c r="T175" s="32">
        <f t="shared" si="37"/>
        <v>0</v>
      </c>
      <c r="U175" s="32">
        <f t="shared" si="37"/>
        <v>0</v>
      </c>
      <c r="V175" s="32">
        <f t="shared" si="37"/>
        <v>0</v>
      </c>
    </row>
    <row r="176" spans="1:22" ht="15">
      <c r="A176" s="21" t="s">
        <v>195</v>
      </c>
      <c r="B176" s="194" t="s">
        <v>192</v>
      </c>
      <c r="C176" s="194"/>
      <c r="D176" s="195">
        <f>'[1]M  MBD'!G15</f>
        <v>559.3349358974359</v>
      </c>
      <c r="E176" s="196"/>
      <c r="F176" s="196"/>
      <c r="G176" s="196"/>
      <c r="H176" s="196">
        <f>'[1]M  MBD'!W15</f>
        <v>900</v>
      </c>
      <c r="I176" s="197">
        <f>SUM(D176:H176)</f>
        <v>1459.334935897436</v>
      </c>
      <c r="J176" s="26">
        <f aca="true" t="shared" si="39" ref="J176:O178">D176*100/$I176</f>
        <v>38.32807137954701</v>
      </c>
      <c r="K176" s="26">
        <f t="shared" si="39"/>
        <v>0</v>
      </c>
      <c r="L176" s="26">
        <f t="shared" si="39"/>
        <v>0</v>
      </c>
      <c r="M176" s="26">
        <f t="shared" si="39"/>
        <v>0</v>
      </c>
      <c r="N176" s="26">
        <f t="shared" si="39"/>
        <v>61.67192862045298</v>
      </c>
      <c r="O176" s="26">
        <f t="shared" si="39"/>
        <v>100</v>
      </c>
      <c r="P176" s="27">
        <v>6.678302725393231</v>
      </c>
      <c r="Q176" s="32">
        <f t="shared" si="37"/>
        <v>2.559664635530951</v>
      </c>
      <c r="R176" s="32">
        <f t="shared" si="37"/>
        <v>0</v>
      </c>
      <c r="S176" s="32">
        <f t="shared" si="37"/>
        <v>0</v>
      </c>
      <c r="T176" s="32">
        <f t="shared" si="37"/>
        <v>0</v>
      </c>
      <c r="U176" s="32">
        <f t="shared" si="37"/>
        <v>4.11863808986228</v>
      </c>
      <c r="V176" s="32">
        <f t="shared" si="37"/>
        <v>6.678302725393231</v>
      </c>
    </row>
    <row r="177" spans="1:22" ht="15">
      <c r="A177" s="21">
        <v>120</v>
      </c>
      <c r="B177" s="194" t="s">
        <v>193</v>
      </c>
      <c r="C177" s="194"/>
      <c r="D177" s="195">
        <f>'[1]M  MBD'!G24</f>
        <v>2766.6426282051284</v>
      </c>
      <c r="E177" s="196">
        <f>'[1]M  MBD'!K24</f>
        <v>243.99375</v>
      </c>
      <c r="F177" s="196"/>
      <c r="G177" s="196"/>
      <c r="H177" s="196">
        <f>'[1]M  MBD'!W24</f>
        <v>6400</v>
      </c>
      <c r="I177" s="197">
        <f>SUM(D177:H177)</f>
        <v>9410.636378205128</v>
      </c>
      <c r="J177" s="26">
        <f t="shared" si="39"/>
        <v>29.39910243065628</v>
      </c>
      <c r="K177" s="26">
        <f t="shared" si="39"/>
        <v>2.592744424437494</v>
      </c>
      <c r="L177" s="26">
        <f t="shared" si="39"/>
        <v>0</v>
      </c>
      <c r="M177" s="26">
        <f t="shared" si="39"/>
        <v>0</v>
      </c>
      <c r="N177" s="26">
        <f t="shared" si="39"/>
        <v>68.00815314490622</v>
      </c>
      <c r="O177" s="41">
        <f t="shared" si="39"/>
        <v>100</v>
      </c>
      <c r="P177" s="62">
        <v>2.542872620510256</v>
      </c>
      <c r="Q177" s="32">
        <f t="shared" si="37"/>
        <v>0.7475817263849238</v>
      </c>
      <c r="R177" s="32">
        <f t="shared" si="37"/>
        <v>0.06593018808882727</v>
      </c>
      <c r="S177" s="32">
        <f t="shared" si="37"/>
        <v>0</v>
      </c>
      <c r="T177" s="32">
        <f t="shared" si="37"/>
        <v>0</v>
      </c>
      <c r="U177" s="32">
        <f t="shared" si="37"/>
        <v>1.7293607060365048</v>
      </c>
      <c r="V177" s="32">
        <f t="shared" si="37"/>
        <v>2.542872620510256</v>
      </c>
    </row>
    <row r="178" spans="1:22" ht="15">
      <c r="A178" s="21">
        <v>121</v>
      </c>
      <c r="B178" s="33" t="s">
        <v>196</v>
      </c>
      <c r="C178" s="33"/>
      <c r="D178" s="198">
        <f>'[1]M CMD'!G14</f>
        <v>267.5080128205128</v>
      </c>
      <c r="E178" s="199"/>
      <c r="F178" s="199"/>
      <c r="G178" s="199"/>
      <c r="H178" s="199">
        <f>'[1]M CMD'!W14</f>
        <v>900</v>
      </c>
      <c r="I178" s="200">
        <f>SUM(D178:H178)</f>
        <v>1167.5080128205127</v>
      </c>
      <c r="J178" s="26">
        <f t="shared" si="39"/>
        <v>22.912734635050274</v>
      </c>
      <c r="K178" s="26">
        <f t="shared" si="39"/>
        <v>0</v>
      </c>
      <c r="L178" s="26">
        <f t="shared" si="39"/>
        <v>0</v>
      </c>
      <c r="M178" s="26">
        <f t="shared" si="39"/>
        <v>0</v>
      </c>
      <c r="N178" s="26">
        <f t="shared" si="39"/>
        <v>77.08726536494973</v>
      </c>
      <c r="O178" s="26">
        <f t="shared" si="39"/>
        <v>100</v>
      </c>
      <c r="P178" s="27">
        <v>6.081139284502619</v>
      </c>
      <c r="Q178" s="32">
        <f t="shared" si="37"/>
        <v>1.39335530704588</v>
      </c>
      <c r="R178" s="32">
        <f t="shared" si="37"/>
        <v>0</v>
      </c>
      <c r="S178" s="32">
        <f t="shared" si="37"/>
        <v>0</v>
      </c>
      <c r="T178" s="32">
        <f t="shared" si="37"/>
        <v>0</v>
      </c>
      <c r="U178" s="32">
        <f t="shared" si="37"/>
        <v>4.687783977456739</v>
      </c>
      <c r="V178" s="32">
        <f t="shared" si="37"/>
        <v>6.081139284502619</v>
      </c>
    </row>
    <row r="179" spans="1:22" ht="15">
      <c r="A179" s="87" t="s">
        <v>197</v>
      </c>
      <c r="B179" s="33" t="s">
        <v>198</v>
      </c>
      <c r="C179" s="33"/>
      <c r="D179" s="198"/>
      <c r="E179" s="199"/>
      <c r="F179" s="199"/>
      <c r="G179" s="199"/>
      <c r="H179" s="199"/>
      <c r="I179" s="200"/>
      <c r="J179" s="26"/>
      <c r="K179" s="26"/>
      <c r="L179" s="26"/>
      <c r="M179" s="26"/>
      <c r="N179" s="26"/>
      <c r="O179" s="26"/>
      <c r="P179" s="27"/>
      <c r="Q179" s="32">
        <f t="shared" si="37"/>
        <v>0</v>
      </c>
      <c r="R179" s="32">
        <f t="shared" si="37"/>
        <v>0</v>
      </c>
      <c r="S179" s="32">
        <f t="shared" si="37"/>
        <v>0</v>
      </c>
      <c r="T179" s="32">
        <f t="shared" si="37"/>
        <v>0</v>
      </c>
      <c r="U179" s="32">
        <f t="shared" si="37"/>
        <v>0</v>
      </c>
      <c r="V179" s="32">
        <f t="shared" si="37"/>
        <v>0</v>
      </c>
    </row>
    <row r="180" spans="1:22" ht="15">
      <c r="A180" s="21">
        <v>122</v>
      </c>
      <c r="B180" s="194" t="s">
        <v>192</v>
      </c>
      <c r="C180" s="194"/>
      <c r="D180" s="195">
        <f>'[1]M ADA'!G14</f>
        <v>267.5080128205128</v>
      </c>
      <c r="E180" s="196"/>
      <c r="F180" s="196"/>
      <c r="G180" s="196"/>
      <c r="H180" s="196">
        <f>'[1]M ADA'!W14</f>
        <v>900</v>
      </c>
      <c r="I180" s="197">
        <f>SUM(D180:H180)</f>
        <v>1167.5080128205127</v>
      </c>
      <c r="J180" s="26">
        <f aca="true" t="shared" si="40" ref="J180:O182">D180*100/$I180</f>
        <v>22.912734635050274</v>
      </c>
      <c r="K180" s="26">
        <f t="shared" si="40"/>
        <v>0</v>
      </c>
      <c r="L180" s="26">
        <f t="shared" si="40"/>
        <v>0</v>
      </c>
      <c r="M180" s="26">
        <f t="shared" si="40"/>
        <v>0</v>
      </c>
      <c r="N180" s="26">
        <f t="shared" si="40"/>
        <v>77.08726536494973</v>
      </c>
      <c r="O180" s="26">
        <f t="shared" si="40"/>
        <v>100</v>
      </c>
      <c r="P180" s="27">
        <v>36.59381759021305</v>
      </c>
      <c r="Q180" s="32">
        <f t="shared" si="37"/>
        <v>8.384644317279864</v>
      </c>
      <c r="R180" s="32">
        <f t="shared" si="37"/>
        <v>0</v>
      </c>
      <c r="S180" s="32">
        <f t="shared" si="37"/>
        <v>0</v>
      </c>
      <c r="T180" s="32">
        <f t="shared" si="37"/>
        <v>0</v>
      </c>
      <c r="U180" s="32">
        <f t="shared" si="37"/>
        <v>28.209173272933185</v>
      </c>
      <c r="V180" s="32">
        <f t="shared" si="37"/>
        <v>36.59381759021305</v>
      </c>
    </row>
    <row r="181" spans="1:22" ht="15">
      <c r="A181" s="21">
        <v>123</v>
      </c>
      <c r="B181" s="194" t="s">
        <v>199</v>
      </c>
      <c r="C181" s="194"/>
      <c r="D181" s="195">
        <f>'[1]M ADA'!G20</f>
        <v>2596.4102564102564</v>
      </c>
      <c r="E181" s="196"/>
      <c r="F181" s="196"/>
      <c r="G181" s="196"/>
      <c r="H181" s="196">
        <f>'[1]M ADA'!W20</f>
        <v>6400</v>
      </c>
      <c r="I181" s="197">
        <f>SUM(D181:H181)</f>
        <v>8996.410256410256</v>
      </c>
      <c r="J181" s="41">
        <f t="shared" si="40"/>
        <v>28.860514165194093</v>
      </c>
      <c r="K181" s="41">
        <f t="shared" si="40"/>
        <v>0</v>
      </c>
      <c r="L181" s="41">
        <f t="shared" si="40"/>
        <v>0</v>
      </c>
      <c r="M181" s="41">
        <f t="shared" si="40"/>
        <v>0</v>
      </c>
      <c r="N181" s="41">
        <f t="shared" si="40"/>
        <v>71.13948583480591</v>
      </c>
      <c r="O181" s="41">
        <f t="shared" si="40"/>
        <v>100</v>
      </c>
      <c r="P181" s="62">
        <v>2.8197921750830015</v>
      </c>
      <c r="Q181" s="32">
        <f t="shared" si="37"/>
        <v>0.8138065201188642</v>
      </c>
      <c r="R181" s="32">
        <f t="shared" si="37"/>
        <v>0</v>
      </c>
      <c r="S181" s="32">
        <f t="shared" si="37"/>
        <v>0</v>
      </c>
      <c r="T181" s="32">
        <f t="shared" si="37"/>
        <v>0</v>
      </c>
      <c r="U181" s="32">
        <f t="shared" si="37"/>
        <v>2.005985654964137</v>
      </c>
      <c r="V181" s="32">
        <f t="shared" si="37"/>
        <v>2.8197921750830015</v>
      </c>
    </row>
    <row r="182" spans="1:22" ht="15">
      <c r="A182" s="21">
        <v>124</v>
      </c>
      <c r="B182" s="33" t="s">
        <v>200</v>
      </c>
      <c r="C182" s="33"/>
      <c r="D182" s="198">
        <f>'[1]M CAPD'!G14</f>
        <v>812.0432692307692</v>
      </c>
      <c r="E182" s="199"/>
      <c r="F182" s="199"/>
      <c r="G182" s="199"/>
      <c r="H182" s="199">
        <f>'[1]M CAPD'!W14</f>
        <v>1050</v>
      </c>
      <c r="I182" s="200">
        <f>SUM(D182:H182)</f>
        <v>1862.043269230769</v>
      </c>
      <c r="J182" s="26">
        <f t="shared" si="40"/>
        <v>43.61033294173843</v>
      </c>
      <c r="K182" s="26">
        <f t="shared" si="40"/>
        <v>0</v>
      </c>
      <c r="L182" s="26">
        <f t="shared" si="40"/>
        <v>0</v>
      </c>
      <c r="M182" s="26">
        <f t="shared" si="40"/>
        <v>0</v>
      </c>
      <c r="N182" s="26">
        <f t="shared" si="40"/>
        <v>56.38966705826158</v>
      </c>
      <c r="O182" s="26">
        <f t="shared" si="40"/>
        <v>100</v>
      </c>
      <c r="P182" s="27">
        <v>0.823825863170427</v>
      </c>
      <c r="Q182" s="32">
        <f t="shared" si="37"/>
        <v>0.35927320178877364</v>
      </c>
      <c r="R182" s="32">
        <f t="shared" si="37"/>
        <v>0</v>
      </c>
      <c r="S182" s="32">
        <f t="shared" si="37"/>
        <v>0</v>
      </c>
      <c r="T182" s="32">
        <f t="shared" si="37"/>
        <v>0</v>
      </c>
      <c r="U182" s="32">
        <f t="shared" si="37"/>
        <v>0.4645526613816534</v>
      </c>
      <c r="V182" s="32">
        <f t="shared" si="37"/>
        <v>0.823825863170427</v>
      </c>
    </row>
    <row r="183" spans="1:22" ht="15">
      <c r="A183" s="21">
        <v>125</v>
      </c>
      <c r="B183" s="33" t="s">
        <v>201</v>
      </c>
      <c r="C183" s="33"/>
      <c r="D183" s="198"/>
      <c r="E183" s="199"/>
      <c r="F183" s="199"/>
      <c r="G183" s="199"/>
      <c r="H183" s="199"/>
      <c r="I183" s="200"/>
      <c r="J183" s="41"/>
      <c r="K183" s="41"/>
      <c r="L183" s="41"/>
      <c r="M183" s="41"/>
      <c r="N183" s="41"/>
      <c r="O183" s="41"/>
      <c r="P183" s="62"/>
      <c r="Q183" s="32">
        <f t="shared" si="37"/>
        <v>0</v>
      </c>
      <c r="R183" s="32">
        <f t="shared" si="37"/>
        <v>0</v>
      </c>
      <c r="S183" s="32">
        <f t="shared" si="37"/>
        <v>0</v>
      </c>
      <c r="T183" s="32">
        <f t="shared" si="37"/>
        <v>0</v>
      </c>
      <c r="U183" s="32">
        <f t="shared" si="37"/>
        <v>0</v>
      </c>
      <c r="V183" s="32">
        <f t="shared" si="37"/>
        <v>0</v>
      </c>
    </row>
    <row r="184" spans="1:22" ht="15.75" thickBot="1">
      <c r="A184" s="201">
        <v>126</v>
      </c>
      <c r="B184" s="33" t="s">
        <v>202</v>
      </c>
      <c r="C184" s="33"/>
      <c r="D184" s="198">
        <f>'[1]M GPD'!$G$14</f>
        <v>559.3349358974359</v>
      </c>
      <c r="E184" s="199"/>
      <c r="F184" s="199"/>
      <c r="G184" s="199"/>
      <c r="H184" s="199">
        <f>'[1]M GPD'!$W$14</f>
        <v>1050</v>
      </c>
      <c r="I184" s="200">
        <f>SUM(D184:H184)</f>
        <v>1609.334935897436</v>
      </c>
      <c r="J184" s="26">
        <f aca="true" t="shared" si="41" ref="J184:O185">D184*100/$I184</f>
        <v>34.75565734770594</v>
      </c>
      <c r="K184" s="26">
        <f t="shared" si="41"/>
        <v>0</v>
      </c>
      <c r="L184" s="26">
        <f t="shared" si="41"/>
        <v>0</v>
      </c>
      <c r="M184" s="26">
        <f t="shared" si="41"/>
        <v>0</v>
      </c>
      <c r="N184" s="26">
        <f t="shared" si="41"/>
        <v>65.24434265229405</v>
      </c>
      <c r="O184" s="26">
        <f t="shared" si="41"/>
        <v>100</v>
      </c>
      <c r="P184" s="27">
        <v>4.910736461690915</v>
      </c>
      <c r="Q184" s="32">
        <f t="shared" si="37"/>
        <v>1.7067587378741533</v>
      </c>
      <c r="R184" s="32">
        <f t="shared" si="37"/>
        <v>0</v>
      </c>
      <c r="S184" s="32">
        <f t="shared" si="37"/>
        <v>0</v>
      </c>
      <c r="T184" s="32">
        <f t="shared" si="37"/>
        <v>0</v>
      </c>
      <c r="U184" s="32">
        <f t="shared" si="37"/>
        <v>3.2039777238167613</v>
      </c>
      <c r="V184" s="32">
        <f t="shared" si="37"/>
        <v>4.910736461690915</v>
      </c>
    </row>
    <row r="185" spans="1:22" ht="15">
      <c r="A185" s="35">
        <v>127</v>
      </c>
      <c r="B185" s="33" t="s">
        <v>203</v>
      </c>
      <c r="C185" s="33"/>
      <c r="D185" s="198">
        <f>'[1] M E'!G13</f>
        <v>559.3349358974359</v>
      </c>
      <c r="E185" s="199"/>
      <c r="F185" s="199"/>
      <c r="G185" s="199"/>
      <c r="H185" s="199">
        <f>'[1] M E'!W13</f>
        <v>1050</v>
      </c>
      <c r="I185" s="200">
        <f>SUM(D185:H185)</f>
        <v>1609.334935897436</v>
      </c>
      <c r="J185" s="26">
        <f t="shared" si="41"/>
        <v>34.75565734770594</v>
      </c>
      <c r="K185" s="26">
        <f t="shared" si="41"/>
        <v>0</v>
      </c>
      <c r="L185" s="26">
        <f t="shared" si="41"/>
        <v>0</v>
      </c>
      <c r="M185" s="26">
        <f t="shared" si="41"/>
        <v>0</v>
      </c>
      <c r="N185" s="26">
        <f t="shared" si="41"/>
        <v>65.24434265229405</v>
      </c>
      <c r="O185" s="26">
        <f t="shared" si="41"/>
        <v>100</v>
      </c>
      <c r="P185" s="27">
        <v>2.658009090675243</v>
      </c>
      <c r="Q185" s="32">
        <f t="shared" si="37"/>
        <v>0.923808531825962</v>
      </c>
      <c r="R185" s="32">
        <f t="shared" si="37"/>
        <v>0</v>
      </c>
      <c r="S185" s="32">
        <f t="shared" si="37"/>
        <v>0</v>
      </c>
      <c r="T185" s="32">
        <f t="shared" si="37"/>
        <v>0</v>
      </c>
      <c r="U185" s="32">
        <f t="shared" si="37"/>
        <v>1.734200558849281</v>
      </c>
      <c r="V185" s="32">
        <f t="shared" si="37"/>
        <v>2.6580090906752436</v>
      </c>
    </row>
    <row r="186" spans="1:36" ht="15">
      <c r="A186" s="202"/>
      <c r="B186" s="203" t="s">
        <v>204</v>
      </c>
      <c r="C186" s="204"/>
      <c r="D186" s="202"/>
      <c r="E186" s="145"/>
      <c r="F186" s="145"/>
      <c r="G186" s="145"/>
      <c r="H186" s="145"/>
      <c r="I186" s="145"/>
      <c r="J186" s="145"/>
      <c r="K186" s="145"/>
      <c r="L186" s="145"/>
      <c r="M186" s="147"/>
      <c r="N186" s="148"/>
      <c r="O186" s="149"/>
      <c r="P186" s="149"/>
      <c r="Q186" s="150"/>
      <c r="R186" s="150"/>
      <c r="S186" s="151"/>
      <c r="T186" s="150"/>
      <c r="U186" s="151"/>
      <c r="V186" s="150"/>
      <c r="W186" s="151"/>
      <c r="X186" s="150"/>
      <c r="Y186" s="151"/>
      <c r="Z186" s="150"/>
      <c r="AA186" s="151"/>
      <c r="AB186" s="150"/>
      <c r="AC186" s="151"/>
      <c r="AD186" s="150"/>
      <c r="AE186" s="151"/>
      <c r="AF186" s="150"/>
      <c r="AG186" s="151"/>
      <c r="AH186" s="150"/>
      <c r="AI186" s="150"/>
      <c r="AJ186" s="150"/>
    </row>
    <row r="187" spans="1:36" ht="60">
      <c r="A187" s="205">
        <v>128</v>
      </c>
      <c r="B187" s="186" t="s">
        <v>205</v>
      </c>
      <c r="C187" s="206" t="s">
        <v>40</v>
      </c>
      <c r="D187" s="205"/>
      <c r="E187" s="45"/>
      <c r="F187" s="45"/>
      <c r="G187" s="45"/>
      <c r="H187" s="45"/>
      <c r="I187" s="45"/>
      <c r="J187" s="45"/>
      <c r="K187" s="45"/>
      <c r="L187" s="45"/>
      <c r="M187" s="120"/>
      <c r="N187" s="47"/>
      <c r="O187" s="46"/>
      <c r="P187" s="46"/>
      <c r="Q187" s="48"/>
      <c r="R187" s="48"/>
      <c r="S187" s="49"/>
      <c r="T187" s="48"/>
      <c r="U187" s="49"/>
      <c r="V187" s="48"/>
      <c r="W187" s="49"/>
      <c r="X187" s="48"/>
      <c r="Y187" s="49"/>
      <c r="Z187" s="48"/>
      <c r="AA187" s="49"/>
      <c r="AB187" s="48"/>
      <c r="AC187" s="49"/>
      <c r="AD187" s="48"/>
      <c r="AE187" s="49"/>
      <c r="AF187" s="48"/>
      <c r="AG187" s="49"/>
      <c r="AH187" s="48"/>
      <c r="AI187" s="48"/>
      <c r="AJ187" s="48"/>
    </row>
    <row r="188" spans="1:36" ht="75">
      <c r="A188" s="205">
        <v>129</v>
      </c>
      <c r="B188" s="186" t="s">
        <v>206</v>
      </c>
      <c r="C188" s="206" t="s">
        <v>42</v>
      </c>
      <c r="D188" s="205"/>
      <c r="E188" s="45"/>
      <c r="F188" s="45"/>
      <c r="G188" s="45"/>
      <c r="H188" s="45"/>
      <c r="I188" s="45">
        <v>13500</v>
      </c>
      <c r="J188" s="45"/>
      <c r="K188" s="45"/>
      <c r="L188" s="45"/>
      <c r="M188" s="120"/>
      <c r="N188" s="47"/>
      <c r="O188" s="46"/>
      <c r="P188" s="46"/>
      <c r="Q188" s="48"/>
      <c r="R188" s="48"/>
      <c r="S188" s="49"/>
      <c r="T188" s="48"/>
      <c r="U188" s="49"/>
      <c r="V188" s="48"/>
      <c r="W188" s="49"/>
      <c r="X188" s="48"/>
      <c r="Y188" s="49"/>
      <c r="Z188" s="48"/>
      <c r="AA188" s="49"/>
      <c r="AB188" s="48"/>
      <c r="AC188" s="49"/>
      <c r="AD188" s="48"/>
      <c r="AE188" s="49"/>
      <c r="AF188" s="48"/>
      <c r="AG188" s="49"/>
      <c r="AH188" s="48"/>
      <c r="AI188" s="48"/>
      <c r="AJ188" s="48"/>
    </row>
    <row r="189" spans="1:36" ht="30">
      <c r="A189" s="260">
        <v>130</v>
      </c>
      <c r="B189" s="235" t="s">
        <v>207</v>
      </c>
      <c r="C189" s="261" t="s">
        <v>40</v>
      </c>
      <c r="D189" s="260"/>
      <c r="E189" s="229"/>
      <c r="F189" s="229"/>
      <c r="G189" s="229"/>
      <c r="H189" s="229"/>
      <c r="I189" s="229"/>
      <c r="J189" s="229"/>
      <c r="K189" s="229"/>
      <c r="L189" s="229"/>
      <c r="M189" s="230"/>
      <c r="N189" s="231"/>
      <c r="O189" s="232"/>
      <c r="P189" s="232"/>
      <c r="Q189" s="233"/>
      <c r="R189" s="233"/>
      <c r="S189" s="234"/>
      <c r="T189" s="233"/>
      <c r="U189" s="234"/>
      <c r="V189" s="233"/>
      <c r="W189" s="234"/>
      <c r="X189" s="233"/>
      <c r="Y189" s="234"/>
      <c r="Z189" s="233"/>
      <c r="AA189" s="234"/>
      <c r="AB189" s="233"/>
      <c r="AC189" s="234"/>
      <c r="AD189" s="233"/>
      <c r="AE189" s="234"/>
      <c r="AF189" s="233"/>
      <c r="AG189" s="234"/>
      <c r="AH189" s="233"/>
      <c r="AI189" s="233"/>
      <c r="AJ189" s="233"/>
    </row>
    <row r="190" spans="1:36" ht="30">
      <c r="A190" s="205">
        <v>131</v>
      </c>
      <c r="B190" s="186" t="s">
        <v>208</v>
      </c>
      <c r="C190" s="206" t="s">
        <v>40</v>
      </c>
      <c r="D190" s="205"/>
      <c r="E190" s="45"/>
      <c r="F190" s="45"/>
      <c r="G190" s="45"/>
      <c r="H190" s="45"/>
      <c r="I190" s="45">
        <v>2000</v>
      </c>
      <c r="J190" s="45"/>
      <c r="K190" s="45"/>
      <c r="L190" s="45"/>
      <c r="M190" s="120"/>
      <c r="N190" s="47"/>
      <c r="O190" s="46"/>
      <c r="P190" s="46"/>
      <c r="Q190" s="48"/>
      <c r="R190" s="48"/>
      <c r="S190" s="49"/>
      <c r="T190" s="48"/>
      <c r="U190" s="49"/>
      <c r="V190" s="48"/>
      <c r="W190" s="49"/>
      <c r="X190" s="48"/>
      <c r="Y190" s="49"/>
      <c r="Z190" s="48"/>
      <c r="AA190" s="49"/>
      <c r="AB190" s="48"/>
      <c r="AC190" s="49"/>
      <c r="AD190" s="48"/>
      <c r="AE190" s="49"/>
      <c r="AF190" s="48"/>
      <c r="AG190" s="49"/>
      <c r="AH190" s="48"/>
      <c r="AI190" s="48"/>
      <c r="AJ190" s="48"/>
    </row>
    <row r="191" spans="1:36" ht="90">
      <c r="A191" s="205">
        <v>132</v>
      </c>
      <c r="B191" s="186" t="s">
        <v>209</v>
      </c>
      <c r="C191" s="206" t="s">
        <v>40</v>
      </c>
      <c r="D191" s="205"/>
      <c r="E191" s="45"/>
      <c r="F191" s="45"/>
      <c r="G191" s="45"/>
      <c r="H191" s="45"/>
      <c r="I191" s="45">
        <v>2000</v>
      </c>
      <c r="J191" s="45"/>
      <c r="K191" s="45"/>
      <c r="L191" s="45"/>
      <c r="M191" s="120"/>
      <c r="N191" s="47"/>
      <c r="O191" s="46"/>
      <c r="P191" s="46"/>
      <c r="Q191" s="48"/>
      <c r="R191" s="48"/>
      <c r="S191" s="49"/>
      <c r="T191" s="48"/>
      <c r="U191" s="49"/>
      <c r="V191" s="48"/>
      <c r="W191" s="49"/>
      <c r="X191" s="48"/>
      <c r="Y191" s="49"/>
      <c r="Z191" s="48"/>
      <c r="AA191" s="49"/>
      <c r="AB191" s="48"/>
      <c r="AC191" s="49"/>
      <c r="AD191" s="48"/>
      <c r="AE191" s="49"/>
      <c r="AF191" s="48"/>
      <c r="AG191" s="49"/>
      <c r="AH191" s="48"/>
      <c r="AI191" s="48"/>
      <c r="AJ191" s="48"/>
    </row>
    <row r="192" spans="1:36" ht="60">
      <c r="A192" s="205">
        <v>133</v>
      </c>
      <c r="B192" s="186" t="s">
        <v>210</v>
      </c>
      <c r="C192" s="206" t="s">
        <v>134</v>
      </c>
      <c r="D192" s="205"/>
      <c r="E192" s="45"/>
      <c r="F192" s="45"/>
      <c r="G192" s="45"/>
      <c r="H192" s="45"/>
      <c r="I192" s="45">
        <v>1000</v>
      </c>
      <c r="J192" s="45"/>
      <c r="K192" s="45"/>
      <c r="L192" s="45"/>
      <c r="M192" s="120"/>
      <c r="N192" s="47"/>
      <c r="O192" s="46"/>
      <c r="P192" s="46"/>
      <c r="Q192" s="48"/>
      <c r="R192" s="48"/>
      <c r="S192" s="49"/>
      <c r="T192" s="48"/>
      <c r="U192" s="49"/>
      <c r="V192" s="48"/>
      <c r="W192" s="49"/>
      <c r="X192" s="48"/>
      <c r="Y192" s="49"/>
      <c r="Z192" s="48"/>
      <c r="AA192" s="49"/>
      <c r="AB192" s="48"/>
      <c r="AC192" s="49"/>
      <c r="AD192" s="48"/>
      <c r="AE192" s="49"/>
      <c r="AF192" s="48"/>
      <c r="AG192" s="49"/>
      <c r="AH192" s="48"/>
      <c r="AI192" s="48"/>
      <c r="AJ192" s="48"/>
    </row>
    <row r="193" spans="1:36" ht="120">
      <c r="A193" s="205">
        <v>134</v>
      </c>
      <c r="B193" s="186" t="s">
        <v>211</v>
      </c>
      <c r="C193" s="206" t="s">
        <v>40</v>
      </c>
      <c r="D193" s="205"/>
      <c r="E193" s="45"/>
      <c r="F193" s="45"/>
      <c r="G193" s="45"/>
      <c r="H193" s="45"/>
      <c r="I193" s="45">
        <v>2000</v>
      </c>
      <c r="J193" s="45"/>
      <c r="K193" s="45"/>
      <c r="L193" s="45"/>
      <c r="M193" s="120"/>
      <c r="N193" s="47"/>
      <c r="O193" s="46"/>
      <c r="P193" s="46"/>
      <c r="Q193" s="48"/>
      <c r="R193" s="48"/>
      <c r="S193" s="49"/>
      <c r="T193" s="48"/>
      <c r="U193" s="49"/>
      <c r="V193" s="48"/>
      <c r="W193" s="49"/>
      <c r="X193" s="48"/>
      <c r="Y193" s="49"/>
      <c r="Z193" s="48"/>
      <c r="AA193" s="49"/>
      <c r="AB193" s="48"/>
      <c r="AC193" s="49"/>
      <c r="AD193" s="48"/>
      <c r="AE193" s="49"/>
      <c r="AF193" s="48"/>
      <c r="AG193" s="49"/>
      <c r="AH193" s="48"/>
      <c r="AI193" s="48"/>
      <c r="AJ193" s="48"/>
    </row>
    <row r="194" spans="1:36" ht="60">
      <c r="A194" s="207">
        <v>135</v>
      </c>
      <c r="B194" s="208" t="s">
        <v>212</v>
      </c>
      <c r="C194" s="209" t="s">
        <v>134</v>
      </c>
      <c r="D194" s="207"/>
      <c r="E194" s="210"/>
      <c r="F194" s="210"/>
      <c r="G194" s="210"/>
      <c r="H194" s="210"/>
      <c r="I194" s="210">
        <v>200</v>
      </c>
      <c r="J194" s="210"/>
      <c r="K194" s="210"/>
      <c r="L194" s="210"/>
      <c r="M194" s="211">
        <v>487</v>
      </c>
      <c r="N194" s="212">
        <v>23746056</v>
      </c>
      <c r="O194" s="213">
        <f>M194*N194/100000</f>
        <v>115643.29272</v>
      </c>
      <c r="P194" s="213">
        <f>O194/10611</f>
        <v>10.898434899632457</v>
      </c>
      <c r="Q194" s="162"/>
      <c r="R194" s="162"/>
      <c r="S194" s="163"/>
      <c r="T194" s="162"/>
      <c r="U194" s="163"/>
      <c r="V194" s="162"/>
      <c r="W194" s="163"/>
      <c r="X194" s="162"/>
      <c r="Y194" s="163"/>
      <c r="Z194" s="162"/>
      <c r="AA194" s="163"/>
      <c r="AB194" s="162"/>
      <c r="AC194" s="163"/>
      <c r="AD194" s="162"/>
      <c r="AE194" s="163"/>
      <c r="AF194" s="162"/>
      <c r="AG194" s="163"/>
      <c r="AH194" s="162"/>
      <c r="AI194" s="162"/>
      <c r="AJ194" s="162"/>
    </row>
    <row r="195" spans="1:36" ht="30">
      <c r="A195" s="207">
        <v>136</v>
      </c>
      <c r="B195" s="208" t="s">
        <v>213</v>
      </c>
      <c r="C195" s="209" t="s">
        <v>134</v>
      </c>
      <c r="D195" s="207"/>
      <c r="E195" s="210"/>
      <c r="F195" s="210"/>
      <c r="G195" s="210"/>
      <c r="H195" s="210"/>
      <c r="I195" s="210">
        <v>1000</v>
      </c>
      <c r="J195" s="210"/>
      <c r="K195" s="210"/>
      <c r="L195" s="210"/>
      <c r="M195" s="211">
        <v>462.6493364865637</v>
      </c>
      <c r="N195" s="214">
        <f>'[3]Sheet1'!$F$11</f>
        <v>3957676</v>
      </c>
      <c r="O195" s="213">
        <f>M195*N195/100000</f>
        <v>18310.161754287976</v>
      </c>
      <c r="P195" s="213">
        <f>O195/10611</f>
        <v>1.7255830510119665</v>
      </c>
      <c r="Q195" s="162"/>
      <c r="R195" s="162"/>
      <c r="S195" s="163"/>
      <c r="T195" s="162"/>
      <c r="U195" s="163"/>
      <c r="V195" s="162"/>
      <c r="W195" s="163"/>
      <c r="X195" s="162"/>
      <c r="Y195" s="163"/>
      <c r="Z195" s="162"/>
      <c r="AA195" s="163"/>
      <c r="AB195" s="162"/>
      <c r="AC195" s="163"/>
      <c r="AD195" s="162"/>
      <c r="AE195" s="163"/>
      <c r="AF195" s="162"/>
      <c r="AG195" s="163"/>
      <c r="AH195" s="162"/>
      <c r="AI195" s="162"/>
      <c r="AJ195" s="162"/>
    </row>
    <row r="196" spans="1:36" ht="120">
      <c r="A196" s="207">
        <v>137</v>
      </c>
      <c r="B196" s="208" t="s">
        <v>214</v>
      </c>
      <c r="C196" s="209" t="s">
        <v>40</v>
      </c>
      <c r="D196" s="207"/>
      <c r="E196" s="210"/>
      <c r="F196" s="210"/>
      <c r="G196" s="210"/>
      <c r="H196" s="210"/>
      <c r="I196" s="210">
        <v>300</v>
      </c>
      <c r="J196" s="210"/>
      <c r="K196" s="210"/>
      <c r="L196" s="210"/>
      <c r="M196" s="211">
        <v>70</v>
      </c>
      <c r="N196" s="214">
        <f>1061126000*0.1</f>
        <v>106112600</v>
      </c>
      <c r="O196" s="213">
        <f>M196*N196/100000</f>
        <v>74278.82</v>
      </c>
      <c r="P196" s="213">
        <f>O196/10611</f>
        <v>7.00017152012063</v>
      </c>
      <c r="Q196" s="162"/>
      <c r="R196" s="162"/>
      <c r="S196" s="163"/>
      <c r="T196" s="162"/>
      <c r="U196" s="163"/>
      <c r="V196" s="162"/>
      <c r="W196" s="163"/>
      <c r="X196" s="162"/>
      <c r="Y196" s="163"/>
      <c r="Z196" s="162"/>
      <c r="AA196" s="163"/>
      <c r="AB196" s="162"/>
      <c r="AC196" s="163"/>
      <c r="AD196" s="162"/>
      <c r="AE196" s="163"/>
      <c r="AF196" s="162"/>
      <c r="AG196" s="163"/>
      <c r="AH196" s="162"/>
      <c r="AI196" s="162"/>
      <c r="AJ196" s="162"/>
    </row>
    <row r="197" spans="1:36" ht="90">
      <c r="A197" s="205">
        <v>138</v>
      </c>
      <c r="B197" s="185" t="s">
        <v>215</v>
      </c>
      <c r="C197" s="206" t="s">
        <v>134</v>
      </c>
      <c r="D197" s="205"/>
      <c r="E197" s="45"/>
      <c r="F197" s="45"/>
      <c r="G197" s="45"/>
      <c r="H197" s="45"/>
      <c r="I197" s="45"/>
      <c r="J197" s="45"/>
      <c r="K197" s="45"/>
      <c r="L197" s="45"/>
      <c r="M197" s="120"/>
      <c r="N197" s="47"/>
      <c r="O197" s="46"/>
      <c r="P197" s="46"/>
      <c r="Q197" s="48"/>
      <c r="R197" s="48"/>
      <c r="S197" s="49"/>
      <c r="T197" s="48"/>
      <c r="U197" s="49"/>
      <c r="V197" s="48"/>
      <c r="W197" s="49"/>
      <c r="X197" s="48"/>
      <c r="Y197" s="49"/>
      <c r="Z197" s="48"/>
      <c r="AA197" s="49"/>
      <c r="AB197" s="48"/>
      <c r="AC197" s="49"/>
      <c r="AD197" s="48"/>
      <c r="AE197" s="49"/>
      <c r="AF197" s="48"/>
      <c r="AG197" s="49"/>
      <c r="AH197" s="48"/>
      <c r="AI197" s="48"/>
      <c r="AJ197" s="48"/>
    </row>
    <row r="198" spans="1:36" ht="45">
      <c r="A198" s="205">
        <v>137</v>
      </c>
      <c r="B198" s="185" t="s">
        <v>216</v>
      </c>
      <c r="C198" s="206" t="s">
        <v>134</v>
      </c>
      <c r="D198" s="215">
        <f>2.37*3187.8658234127</f>
        <v>7555.2420014881</v>
      </c>
      <c r="E198" s="216">
        <f>2.37*3694</f>
        <v>8754.78</v>
      </c>
      <c r="F198" s="216">
        <f>2.37*7442</f>
        <v>17637.54</v>
      </c>
      <c r="G198" s="216">
        <f>2.37*5221.3048</f>
        <v>12374.492376</v>
      </c>
      <c r="H198" s="216">
        <f>2.37*7132.82943399676</f>
        <v>16904.80575857232</v>
      </c>
      <c r="I198" s="216">
        <f>2.37*1609.33493589744</f>
        <v>3814.123798076933</v>
      </c>
      <c r="J198" s="45"/>
      <c r="K198" s="45"/>
      <c r="L198" s="45"/>
      <c r="M198" s="120"/>
      <c r="N198" s="47"/>
      <c r="O198" s="46"/>
      <c r="P198" s="46"/>
      <c r="Q198" s="48"/>
      <c r="R198" s="48"/>
      <c r="S198" s="49"/>
      <c r="T198" s="48"/>
      <c r="U198" s="49"/>
      <c r="V198" s="48"/>
      <c r="W198" s="49"/>
      <c r="X198" s="48"/>
      <c r="Y198" s="49"/>
      <c r="Z198" s="48"/>
      <c r="AA198" s="49"/>
      <c r="AB198" s="48"/>
      <c r="AC198" s="49"/>
      <c r="AD198" s="48"/>
      <c r="AE198" s="49"/>
      <c r="AF198" s="48"/>
      <c r="AG198" s="49"/>
      <c r="AH198" s="48"/>
      <c r="AI198" s="48"/>
      <c r="AJ198" s="48"/>
    </row>
    <row r="199" spans="1:36" ht="30">
      <c r="A199" s="205"/>
      <c r="B199" s="217" t="s">
        <v>217</v>
      </c>
      <c r="C199" s="218"/>
      <c r="D199" s="205"/>
      <c r="E199" s="45"/>
      <c r="F199" s="45"/>
      <c r="G199" s="45"/>
      <c r="H199" s="45"/>
      <c r="I199" s="45"/>
      <c r="J199" s="45"/>
      <c r="K199" s="45"/>
      <c r="L199" s="45"/>
      <c r="M199" s="120"/>
      <c r="N199" s="47"/>
      <c r="O199" s="46"/>
      <c r="P199" s="46"/>
      <c r="Q199" s="48"/>
      <c r="R199" s="48"/>
      <c r="S199" s="49"/>
      <c r="T199" s="48"/>
      <c r="U199" s="49"/>
      <c r="V199" s="48"/>
      <c r="W199" s="49"/>
      <c r="X199" s="48"/>
      <c r="Y199" s="49"/>
      <c r="Z199" s="48"/>
      <c r="AA199" s="49"/>
      <c r="AB199" s="48"/>
      <c r="AC199" s="49"/>
      <c r="AD199" s="48"/>
      <c r="AE199" s="49"/>
      <c r="AF199" s="48"/>
      <c r="AG199" s="49"/>
      <c r="AH199" s="48"/>
      <c r="AI199" s="48"/>
      <c r="AJ199" s="48"/>
    </row>
    <row r="200" spans="1:36" ht="30">
      <c r="A200" s="205">
        <v>141</v>
      </c>
      <c r="B200" s="185" t="s">
        <v>218</v>
      </c>
      <c r="C200" s="206" t="s">
        <v>134</v>
      </c>
      <c r="D200" s="205"/>
      <c r="E200" s="45"/>
      <c r="F200" s="45"/>
      <c r="G200" s="45"/>
      <c r="H200" s="45"/>
      <c r="I200" s="45">
        <v>100</v>
      </c>
      <c r="J200" s="45"/>
      <c r="K200" s="45"/>
      <c r="L200" s="45"/>
      <c r="M200" s="120"/>
      <c r="N200" s="47"/>
      <c r="O200" s="46"/>
      <c r="P200" s="46"/>
      <c r="Q200" s="48"/>
      <c r="R200" s="48"/>
      <c r="S200" s="49"/>
      <c r="T200" s="48"/>
      <c r="U200" s="49"/>
      <c r="V200" s="48"/>
      <c r="W200" s="49"/>
      <c r="X200" s="48"/>
      <c r="Y200" s="49"/>
      <c r="Z200" s="48"/>
      <c r="AA200" s="49"/>
      <c r="AB200" s="48"/>
      <c r="AC200" s="49"/>
      <c r="AD200" s="48"/>
      <c r="AE200" s="49"/>
      <c r="AF200" s="48"/>
      <c r="AG200" s="49"/>
      <c r="AH200" s="48"/>
      <c r="AI200" s="48"/>
      <c r="AJ200" s="48"/>
    </row>
    <row r="201" spans="1:36" ht="75">
      <c r="A201" s="205">
        <v>142</v>
      </c>
      <c r="B201" s="185" t="s">
        <v>219</v>
      </c>
      <c r="C201" s="206" t="s">
        <v>42</v>
      </c>
      <c r="D201" s="205"/>
      <c r="E201" s="45"/>
      <c r="F201" s="45"/>
      <c r="G201" s="45"/>
      <c r="H201" s="45"/>
      <c r="I201" s="45">
        <v>2000</v>
      </c>
      <c r="J201" s="45"/>
      <c r="K201" s="45"/>
      <c r="L201" s="45"/>
      <c r="M201" s="120"/>
      <c r="N201" s="47"/>
      <c r="O201" s="46"/>
      <c r="P201" s="46"/>
      <c r="Q201" s="48"/>
      <c r="R201" s="48"/>
      <c r="S201" s="49"/>
      <c r="T201" s="48"/>
      <c r="U201" s="49"/>
      <c r="V201" s="48"/>
      <c r="W201" s="49"/>
      <c r="X201" s="48"/>
      <c r="Y201" s="49"/>
      <c r="Z201" s="48"/>
      <c r="AA201" s="49"/>
      <c r="AB201" s="48"/>
      <c r="AC201" s="49"/>
      <c r="AD201" s="48"/>
      <c r="AE201" s="49"/>
      <c r="AF201" s="48"/>
      <c r="AG201" s="49"/>
      <c r="AH201" s="48"/>
      <c r="AI201" s="48"/>
      <c r="AJ201" s="48"/>
    </row>
    <row r="202" spans="1:36" ht="45">
      <c r="A202" s="205">
        <v>143</v>
      </c>
      <c r="B202" s="185" t="s">
        <v>220</v>
      </c>
      <c r="C202" s="206" t="s">
        <v>42</v>
      </c>
      <c r="D202" s="205"/>
      <c r="E202" s="45"/>
      <c r="F202" s="45"/>
      <c r="G202" s="45"/>
      <c r="H202" s="45"/>
      <c r="I202" s="45">
        <v>3000</v>
      </c>
      <c r="J202" s="45"/>
      <c r="K202" s="45"/>
      <c r="L202" s="45"/>
      <c r="M202" s="120"/>
      <c r="N202" s="47"/>
      <c r="O202" s="46"/>
      <c r="P202" s="46"/>
      <c r="Q202" s="48"/>
      <c r="R202" s="48"/>
      <c r="S202" s="49"/>
      <c r="T202" s="48"/>
      <c r="U202" s="49"/>
      <c r="V202" s="48"/>
      <c r="W202" s="49"/>
      <c r="X202" s="48"/>
      <c r="Y202" s="49"/>
      <c r="Z202" s="48"/>
      <c r="AA202" s="49"/>
      <c r="AB202" s="48"/>
      <c r="AC202" s="49"/>
      <c r="AD202" s="48"/>
      <c r="AE202" s="49"/>
      <c r="AF202" s="48"/>
      <c r="AG202" s="49"/>
      <c r="AH202" s="48"/>
      <c r="AI202" s="48"/>
      <c r="AJ202" s="48"/>
    </row>
    <row r="203" spans="1:36" ht="60">
      <c r="A203" s="205">
        <v>144</v>
      </c>
      <c r="B203" s="185" t="s">
        <v>221</v>
      </c>
      <c r="C203" s="206" t="s">
        <v>42</v>
      </c>
      <c r="D203" s="205"/>
      <c r="E203" s="45"/>
      <c r="F203" s="45"/>
      <c r="G203" s="45"/>
      <c r="H203" s="45"/>
      <c r="I203" s="45">
        <v>200</v>
      </c>
      <c r="J203" s="45"/>
      <c r="K203" s="45"/>
      <c r="L203" s="45"/>
      <c r="M203" s="120"/>
      <c r="N203" s="47"/>
      <c r="O203" s="46"/>
      <c r="P203" s="46"/>
      <c r="Q203" s="51"/>
      <c r="R203" s="51"/>
      <c r="S203" s="219"/>
      <c r="T203" s="51"/>
      <c r="U203" s="219"/>
      <c r="V203" s="51"/>
      <c r="W203" s="219"/>
      <c r="X203" s="48"/>
      <c r="Y203" s="49"/>
      <c r="Z203" s="48"/>
      <c r="AA203" s="49"/>
      <c r="AB203" s="48"/>
      <c r="AC203" s="49"/>
      <c r="AD203" s="48"/>
      <c r="AE203" s="49"/>
      <c r="AF203" s="48"/>
      <c r="AG203" s="49"/>
      <c r="AH203" s="48"/>
      <c r="AI203" s="48"/>
      <c r="AJ203" s="48"/>
    </row>
    <row r="204" spans="1:36" ht="45">
      <c r="A204" s="205">
        <v>145</v>
      </c>
      <c r="B204" s="185" t="s">
        <v>222</v>
      </c>
      <c r="C204" s="206" t="s">
        <v>42</v>
      </c>
      <c r="D204" s="205"/>
      <c r="E204" s="45"/>
      <c r="F204" s="45"/>
      <c r="G204" s="45"/>
      <c r="H204" s="45"/>
      <c r="I204" s="45">
        <v>200</v>
      </c>
      <c r="J204" s="45"/>
      <c r="K204" s="45"/>
      <c r="L204" s="45"/>
      <c r="M204" s="120"/>
      <c r="N204" s="47"/>
      <c r="O204" s="46"/>
      <c r="P204" s="46"/>
      <c r="Q204" s="48"/>
      <c r="R204" s="48"/>
      <c r="S204" s="49"/>
      <c r="T204" s="48"/>
      <c r="U204" s="49"/>
      <c r="V204" s="48"/>
      <c r="W204" s="49"/>
      <c r="X204" s="48"/>
      <c r="Y204" s="49"/>
      <c r="Z204" s="48"/>
      <c r="AA204" s="49"/>
      <c r="AB204" s="48"/>
      <c r="AC204" s="49"/>
      <c r="AD204" s="48"/>
      <c r="AE204" s="49"/>
      <c r="AF204" s="48"/>
      <c r="AG204" s="49"/>
      <c r="AH204" s="48"/>
      <c r="AI204" s="48"/>
      <c r="AJ204" s="48"/>
    </row>
    <row r="205" spans="1:36" ht="105">
      <c r="A205" s="205">
        <v>146</v>
      </c>
      <c r="B205" s="185" t="s">
        <v>223</v>
      </c>
      <c r="C205" s="206" t="s">
        <v>42</v>
      </c>
      <c r="D205" s="205"/>
      <c r="E205" s="45"/>
      <c r="F205" s="45"/>
      <c r="G205" s="45"/>
      <c r="H205" s="45"/>
      <c r="I205" s="45">
        <v>3000</v>
      </c>
      <c r="J205" s="45"/>
      <c r="K205" s="45"/>
      <c r="L205" s="45"/>
      <c r="M205" s="120"/>
      <c r="N205" s="47"/>
      <c r="O205" s="46"/>
      <c r="P205" s="46"/>
      <c r="Q205" s="48"/>
      <c r="R205" s="48"/>
      <c r="S205" s="49"/>
      <c r="T205" s="48"/>
      <c r="U205" s="49"/>
      <c r="V205" s="48"/>
      <c r="W205" s="49"/>
      <c r="X205" s="48"/>
      <c r="Y205" s="49"/>
      <c r="Z205" s="48"/>
      <c r="AA205" s="49"/>
      <c r="AB205" s="48"/>
      <c r="AC205" s="49"/>
      <c r="AD205" s="48"/>
      <c r="AE205" s="49"/>
      <c r="AF205" s="48"/>
      <c r="AG205" s="49"/>
      <c r="AH205" s="48"/>
      <c r="AI205" s="48"/>
      <c r="AJ205" s="48"/>
    </row>
    <row r="206" spans="1:36" ht="30">
      <c r="A206" s="205">
        <v>147</v>
      </c>
      <c r="B206" s="185" t="s">
        <v>224</v>
      </c>
      <c r="C206" s="206" t="s">
        <v>40</v>
      </c>
      <c r="D206" s="205"/>
      <c r="E206" s="45"/>
      <c r="F206" s="45"/>
      <c r="G206" s="45"/>
      <c r="H206" s="45"/>
      <c r="I206" s="45">
        <v>200</v>
      </c>
      <c r="J206" s="45"/>
      <c r="K206" s="45"/>
      <c r="L206" s="45"/>
      <c r="M206" s="120"/>
      <c r="N206" s="47"/>
      <c r="O206" s="46"/>
      <c r="P206" s="46"/>
      <c r="Q206" s="48"/>
      <c r="R206" s="48"/>
      <c r="S206" s="49"/>
      <c r="T206" s="48"/>
      <c r="U206" s="49"/>
      <c r="V206" s="48"/>
      <c r="W206" s="49"/>
      <c r="X206" s="48"/>
      <c r="Y206" s="49"/>
      <c r="Z206" s="48"/>
      <c r="AA206" s="49"/>
      <c r="AB206" s="48"/>
      <c r="AC206" s="49"/>
      <c r="AD206" s="48"/>
      <c r="AE206" s="49"/>
      <c r="AF206" s="48"/>
      <c r="AG206" s="49"/>
      <c r="AH206" s="48"/>
      <c r="AI206" s="48"/>
      <c r="AJ206" s="48"/>
    </row>
    <row r="207" spans="1:36" ht="30">
      <c r="A207" s="205">
        <v>148</v>
      </c>
      <c r="B207" s="185" t="s">
        <v>225</v>
      </c>
      <c r="C207" s="206" t="s">
        <v>40</v>
      </c>
      <c r="D207" s="205"/>
      <c r="E207" s="45"/>
      <c r="F207" s="45"/>
      <c r="G207" s="45"/>
      <c r="H207" s="45"/>
      <c r="I207" s="45">
        <v>200</v>
      </c>
      <c r="J207" s="45"/>
      <c r="K207" s="45"/>
      <c r="L207" s="45"/>
      <c r="M207" s="120"/>
      <c r="N207" s="47"/>
      <c r="O207" s="46"/>
      <c r="P207" s="46"/>
      <c r="Q207" s="48"/>
      <c r="R207" s="48"/>
      <c r="S207" s="49"/>
      <c r="T207" s="48"/>
      <c r="U207" s="49"/>
      <c r="V207" s="48"/>
      <c r="W207" s="49"/>
      <c r="X207" s="48"/>
      <c r="Y207" s="49"/>
      <c r="Z207" s="48"/>
      <c r="AA207" s="49"/>
      <c r="AB207" s="48"/>
      <c r="AC207" s="49"/>
      <c r="AD207" s="48"/>
      <c r="AE207" s="49"/>
      <c r="AF207" s="48"/>
      <c r="AG207" s="49"/>
      <c r="AH207" s="48"/>
      <c r="AI207" s="48"/>
      <c r="AJ207" s="48"/>
    </row>
    <row r="208" spans="1:36" ht="30">
      <c r="A208" s="205">
        <v>149</v>
      </c>
      <c r="B208" s="185" t="s">
        <v>226</v>
      </c>
      <c r="C208" s="206" t="s">
        <v>42</v>
      </c>
      <c r="D208" s="205"/>
      <c r="E208" s="45"/>
      <c r="F208" s="45"/>
      <c r="G208" s="45"/>
      <c r="H208" s="45"/>
      <c r="I208" s="45">
        <v>1000</v>
      </c>
      <c r="J208" s="45"/>
      <c r="K208" s="45"/>
      <c r="L208" s="45"/>
      <c r="M208" s="120"/>
      <c r="N208" s="47"/>
      <c r="O208" s="46"/>
      <c r="P208" s="46"/>
      <c r="Q208" s="48"/>
      <c r="R208" s="48"/>
      <c r="S208" s="49"/>
      <c r="T208" s="48"/>
      <c r="U208" s="49"/>
      <c r="V208" s="48"/>
      <c r="W208" s="49"/>
      <c r="X208" s="48"/>
      <c r="Y208" s="49"/>
      <c r="Z208" s="48"/>
      <c r="AA208" s="49"/>
      <c r="AB208" s="48"/>
      <c r="AC208" s="49"/>
      <c r="AD208" s="48"/>
      <c r="AE208" s="49"/>
      <c r="AF208" s="48"/>
      <c r="AG208" s="49"/>
      <c r="AH208" s="48"/>
      <c r="AI208" s="48"/>
      <c r="AJ208" s="48"/>
    </row>
    <row r="209" spans="1:36" ht="30">
      <c r="A209" s="205">
        <v>150</v>
      </c>
      <c r="B209" s="185" t="s">
        <v>227</v>
      </c>
      <c r="C209" s="206" t="s">
        <v>42</v>
      </c>
      <c r="D209" s="205"/>
      <c r="E209" s="45"/>
      <c r="F209" s="45"/>
      <c r="G209" s="45"/>
      <c r="H209" s="45"/>
      <c r="I209" s="45">
        <v>1000</v>
      </c>
      <c r="J209" s="45"/>
      <c r="K209" s="45"/>
      <c r="L209" s="45"/>
      <c r="M209" s="120"/>
      <c r="N209" s="47"/>
      <c r="O209" s="46"/>
      <c r="P209" s="46"/>
      <c r="Q209" s="48"/>
      <c r="R209" s="48"/>
      <c r="S209" s="49"/>
      <c r="T209" s="48"/>
      <c r="U209" s="49"/>
      <c r="V209" s="48"/>
      <c r="W209" s="49"/>
      <c r="X209" s="48"/>
      <c r="Y209" s="49"/>
      <c r="Z209" s="48"/>
      <c r="AA209" s="49"/>
      <c r="AB209" s="48"/>
      <c r="AC209" s="49"/>
      <c r="AD209" s="48"/>
      <c r="AE209" s="49"/>
      <c r="AF209" s="48"/>
      <c r="AG209" s="49"/>
      <c r="AH209" s="48"/>
      <c r="AI209" s="48"/>
      <c r="AJ209" s="48"/>
    </row>
    <row r="210" spans="1:36" ht="45">
      <c r="A210" s="205">
        <v>151</v>
      </c>
      <c r="B210" s="185" t="s">
        <v>228</v>
      </c>
      <c r="C210" s="206" t="s">
        <v>40</v>
      </c>
      <c r="D210" s="205"/>
      <c r="E210" s="45"/>
      <c r="F210" s="45"/>
      <c r="G210" s="45"/>
      <c r="H210" s="45"/>
      <c r="I210" s="45">
        <v>1000</v>
      </c>
      <c r="J210" s="45"/>
      <c r="K210" s="45"/>
      <c r="L210" s="45"/>
      <c r="M210" s="120"/>
      <c r="N210" s="47"/>
      <c r="O210" s="46"/>
      <c r="P210" s="46"/>
      <c r="Q210" s="48"/>
      <c r="R210" s="48"/>
      <c r="S210" s="49"/>
      <c r="T210" s="48"/>
      <c r="U210" s="49"/>
      <c r="V210" s="48"/>
      <c r="W210" s="49"/>
      <c r="X210" s="48"/>
      <c r="Y210" s="49"/>
      <c r="Z210" s="48"/>
      <c r="AA210" s="49"/>
      <c r="AB210" s="48"/>
      <c r="AC210" s="49"/>
      <c r="AD210" s="48"/>
      <c r="AE210" s="49"/>
      <c r="AF210" s="48"/>
      <c r="AG210" s="49"/>
      <c r="AH210" s="48"/>
      <c r="AI210" s="48"/>
      <c r="AJ210" s="48"/>
    </row>
    <row r="211" spans="1:36" ht="75">
      <c r="A211" s="205">
        <v>152</v>
      </c>
      <c r="B211" s="185" t="s">
        <v>229</v>
      </c>
      <c r="C211" s="206" t="s">
        <v>42</v>
      </c>
      <c r="D211" s="205"/>
      <c r="E211" s="45"/>
      <c r="F211" s="45"/>
      <c r="G211" s="45"/>
      <c r="H211" s="45"/>
      <c r="I211" s="45">
        <v>1000</v>
      </c>
      <c r="J211" s="45"/>
      <c r="K211" s="45"/>
      <c r="L211" s="45"/>
      <c r="M211" s="120"/>
      <c r="N211" s="47"/>
      <c r="O211" s="46"/>
      <c r="P211" s="46"/>
      <c r="Q211" s="48"/>
      <c r="R211" s="48"/>
      <c r="S211" s="49"/>
      <c r="T211" s="48"/>
      <c r="U211" s="49"/>
      <c r="V211" s="48"/>
      <c r="W211" s="49"/>
      <c r="X211" s="48"/>
      <c r="Y211" s="49"/>
      <c r="Z211" s="48"/>
      <c r="AA211" s="49"/>
      <c r="AB211" s="48"/>
      <c r="AC211" s="49"/>
      <c r="AD211" s="48"/>
      <c r="AE211" s="49"/>
      <c r="AF211" s="48"/>
      <c r="AG211" s="49"/>
      <c r="AH211" s="48"/>
      <c r="AI211" s="48"/>
      <c r="AJ211" s="48"/>
    </row>
    <row r="212" spans="1:36" ht="30">
      <c r="A212" s="205">
        <v>153</v>
      </c>
      <c r="B212" s="185" t="s">
        <v>230</v>
      </c>
      <c r="C212" s="206" t="s">
        <v>40</v>
      </c>
      <c r="D212" s="205"/>
      <c r="E212" s="45"/>
      <c r="F212" s="45"/>
      <c r="G212" s="45"/>
      <c r="H212" s="45"/>
      <c r="I212" s="45">
        <v>200</v>
      </c>
      <c r="J212" s="45"/>
      <c r="K212" s="45"/>
      <c r="L212" s="45"/>
      <c r="M212" s="120"/>
      <c r="N212" s="47"/>
      <c r="O212" s="46"/>
      <c r="P212" s="46"/>
      <c r="Q212" s="48"/>
      <c r="R212" s="48"/>
      <c r="S212" s="49"/>
      <c r="T212" s="48"/>
      <c r="U212" s="49"/>
      <c r="V212" s="48"/>
      <c r="W212" s="49"/>
      <c r="X212" s="48"/>
      <c r="Y212" s="49"/>
      <c r="Z212" s="48"/>
      <c r="AA212" s="49"/>
      <c r="AB212" s="48"/>
      <c r="AC212" s="49"/>
      <c r="AD212" s="48"/>
      <c r="AE212" s="49"/>
      <c r="AF212" s="48"/>
      <c r="AG212" s="49"/>
      <c r="AH212" s="48"/>
      <c r="AI212" s="48"/>
      <c r="AJ212" s="48"/>
    </row>
    <row r="213" spans="1:36" ht="15">
      <c r="A213" s="260">
        <v>154</v>
      </c>
      <c r="B213" s="238" t="s">
        <v>231</v>
      </c>
      <c r="C213" s="261" t="s">
        <v>40</v>
      </c>
      <c r="D213" s="260"/>
      <c r="E213" s="229"/>
      <c r="F213" s="229"/>
      <c r="G213" s="229"/>
      <c r="H213" s="229"/>
      <c r="I213" s="229"/>
      <c r="J213" s="229"/>
      <c r="K213" s="229"/>
      <c r="L213" s="229"/>
      <c r="M213" s="232"/>
      <c r="N213" s="231"/>
      <c r="O213" s="232"/>
      <c r="P213" s="232"/>
      <c r="Q213" s="233"/>
      <c r="R213" s="233"/>
      <c r="S213" s="234"/>
      <c r="T213" s="233"/>
      <c r="U213" s="234"/>
      <c r="V213" s="233"/>
      <c r="W213" s="234"/>
      <c r="X213" s="233"/>
      <c r="Y213" s="234"/>
      <c r="Z213" s="233"/>
      <c r="AA213" s="234"/>
      <c r="AB213" s="233"/>
      <c r="AC213" s="234"/>
      <c r="AD213" s="233"/>
      <c r="AE213" s="234"/>
      <c r="AF213" s="233"/>
      <c r="AG213" s="234"/>
      <c r="AH213" s="233"/>
      <c r="AI213" s="233"/>
      <c r="AJ213" s="233"/>
    </row>
    <row r="214" spans="1:36" ht="30">
      <c r="A214" s="205"/>
      <c r="B214" s="217" t="s">
        <v>232</v>
      </c>
      <c r="C214" s="218"/>
      <c r="D214" s="205"/>
      <c r="E214" s="45"/>
      <c r="F214" s="45"/>
      <c r="G214" s="45"/>
      <c r="H214" s="45"/>
      <c r="I214" s="45"/>
      <c r="J214" s="45"/>
      <c r="K214" s="45"/>
      <c r="L214" s="45"/>
      <c r="M214" s="120"/>
      <c r="N214" s="47"/>
      <c r="O214" s="46"/>
      <c r="P214" s="46"/>
      <c r="Q214" s="48"/>
      <c r="R214" s="48"/>
      <c r="S214" s="49"/>
      <c r="T214" s="48"/>
      <c r="U214" s="49"/>
      <c r="V214" s="48"/>
      <c r="W214" s="49"/>
      <c r="X214" s="48"/>
      <c r="Y214" s="49"/>
      <c r="Z214" s="48"/>
      <c r="AA214" s="49"/>
      <c r="AB214" s="48"/>
      <c r="AC214" s="49"/>
      <c r="AD214" s="48"/>
      <c r="AE214" s="49"/>
      <c r="AF214" s="48"/>
      <c r="AG214" s="49"/>
      <c r="AH214" s="48"/>
      <c r="AI214" s="48"/>
      <c r="AJ214" s="48"/>
    </row>
    <row r="215" spans="1:36" ht="60">
      <c r="A215" s="207">
        <v>67</v>
      </c>
      <c r="B215" s="208" t="s">
        <v>233</v>
      </c>
      <c r="C215" s="209" t="s">
        <v>42</v>
      </c>
      <c r="D215" s="220"/>
      <c r="E215" s="221"/>
      <c r="F215" s="221"/>
      <c r="G215" s="221"/>
      <c r="H215" s="221"/>
      <c r="I215" s="221"/>
      <c r="J215" s="221"/>
      <c r="K215" s="221"/>
      <c r="L215" s="221"/>
      <c r="M215" s="211">
        <v>1898.1313980077762</v>
      </c>
      <c r="N215" s="214">
        <v>4800000</v>
      </c>
      <c r="O215" s="213">
        <f>M215*N215/100000</f>
        <v>91110.30710437326</v>
      </c>
      <c r="P215" s="213">
        <f>O215/10611</f>
        <v>8.586401574250614</v>
      </c>
      <c r="Q215" s="162"/>
      <c r="R215" s="162"/>
      <c r="S215" s="163"/>
      <c r="T215" s="162"/>
      <c r="U215" s="163"/>
      <c r="V215" s="162"/>
      <c r="W215" s="163"/>
      <c r="X215" s="162"/>
      <c r="Y215" s="163"/>
      <c r="Z215" s="162"/>
      <c r="AA215" s="163"/>
      <c r="AB215" s="162"/>
      <c r="AC215" s="163"/>
      <c r="AD215" s="162"/>
      <c r="AE215" s="163"/>
      <c r="AF215" s="162"/>
      <c r="AG215" s="163"/>
      <c r="AH215" s="162"/>
      <c r="AI215" s="162"/>
      <c r="AJ215" s="162"/>
    </row>
    <row r="216" spans="1:36" ht="15">
      <c r="A216" s="51"/>
      <c r="B216" s="222"/>
      <c r="C216" s="206" t="s">
        <v>42</v>
      </c>
      <c r="D216" s="205"/>
      <c r="E216" s="45"/>
      <c r="F216" s="45"/>
      <c r="G216" s="45"/>
      <c r="H216" s="45"/>
      <c r="I216" s="45"/>
      <c r="J216" s="45"/>
      <c r="K216" s="45"/>
      <c r="L216" s="45"/>
      <c r="M216" s="120"/>
      <c r="N216" s="47"/>
      <c r="O216" s="46"/>
      <c r="P216" s="46"/>
      <c r="Q216" s="48"/>
      <c r="R216" s="48"/>
      <c r="S216" s="49"/>
      <c r="T216" s="48"/>
      <c r="U216" s="49"/>
      <c r="V216" s="48"/>
      <c r="W216" s="49"/>
      <c r="X216" s="48"/>
      <c r="Y216" s="49"/>
      <c r="Z216" s="48"/>
      <c r="AA216" s="49"/>
      <c r="AB216" s="48"/>
      <c r="AC216" s="49"/>
      <c r="AD216" s="48"/>
      <c r="AE216" s="49"/>
      <c r="AF216" s="48"/>
      <c r="AG216" s="49"/>
      <c r="AH216" s="48"/>
      <c r="AI216" s="48"/>
      <c r="AJ216" s="48"/>
    </row>
    <row r="217" spans="1:36" ht="30">
      <c r="A217" s="205">
        <v>159</v>
      </c>
      <c r="B217" s="223" t="s">
        <v>234</v>
      </c>
      <c r="C217" s="206" t="s">
        <v>42</v>
      </c>
      <c r="D217" s="205"/>
      <c r="E217" s="45"/>
      <c r="F217" s="45"/>
      <c r="G217" s="45"/>
      <c r="H217" s="45"/>
      <c r="I217" s="45">
        <v>2000</v>
      </c>
      <c r="J217" s="45"/>
      <c r="K217" s="45"/>
      <c r="L217" s="45"/>
      <c r="M217" s="120"/>
      <c r="N217" s="47"/>
      <c r="O217" s="46"/>
      <c r="P217" s="46"/>
      <c r="Q217" s="48"/>
      <c r="R217" s="48"/>
      <c r="S217" s="49"/>
      <c r="T217" s="48"/>
      <c r="U217" s="49"/>
      <c r="V217" s="48"/>
      <c r="W217" s="49"/>
      <c r="X217" s="48"/>
      <c r="Y217" s="49"/>
      <c r="Z217" s="48"/>
      <c r="AA217" s="49"/>
      <c r="AB217" s="48"/>
      <c r="AC217" s="49"/>
      <c r="AD217" s="48"/>
      <c r="AE217" s="49"/>
      <c r="AF217" s="48"/>
      <c r="AG217" s="49"/>
      <c r="AH217" s="48"/>
      <c r="AI217" s="48"/>
      <c r="AJ217" s="48"/>
    </row>
    <row r="218" spans="1:36" ht="30">
      <c r="A218" s="205">
        <v>160</v>
      </c>
      <c r="B218" s="223" t="s">
        <v>235</v>
      </c>
      <c r="C218" s="206" t="s">
        <v>42</v>
      </c>
      <c r="D218" s="205"/>
      <c r="E218" s="45"/>
      <c r="F218" s="45"/>
      <c r="G218" s="45"/>
      <c r="H218" s="45"/>
      <c r="I218" s="45">
        <v>2000</v>
      </c>
      <c r="J218" s="45"/>
      <c r="K218" s="45"/>
      <c r="L218" s="45"/>
      <c r="M218" s="120"/>
      <c r="N218" s="47"/>
      <c r="O218" s="46"/>
      <c r="P218" s="46"/>
      <c r="Q218" s="48"/>
      <c r="R218" s="48"/>
      <c r="S218" s="49"/>
      <c r="T218" s="48"/>
      <c r="U218" s="49"/>
      <c r="V218" s="48"/>
      <c r="W218" s="49"/>
      <c r="X218" s="48"/>
      <c r="Y218" s="49"/>
      <c r="Z218" s="48"/>
      <c r="AA218" s="49"/>
      <c r="AB218" s="48"/>
      <c r="AC218" s="49"/>
      <c r="AD218" s="48"/>
      <c r="AE218" s="49"/>
      <c r="AF218" s="48"/>
      <c r="AG218" s="49"/>
      <c r="AH218" s="48"/>
      <c r="AI218" s="48"/>
      <c r="AJ218" s="48"/>
    </row>
    <row r="219" spans="1:36" ht="45">
      <c r="A219" s="205">
        <v>161</v>
      </c>
      <c r="B219" s="223" t="s">
        <v>236</v>
      </c>
      <c r="C219" s="206" t="s">
        <v>42</v>
      </c>
      <c r="D219" s="205"/>
      <c r="E219" s="45"/>
      <c r="F219" s="45"/>
      <c r="G219" s="45"/>
      <c r="H219" s="45"/>
      <c r="I219" s="45">
        <v>2000</v>
      </c>
      <c r="J219" s="45"/>
      <c r="K219" s="45"/>
      <c r="L219" s="45"/>
      <c r="M219" s="120"/>
      <c r="N219" s="47"/>
      <c r="O219" s="46"/>
      <c r="P219" s="46"/>
      <c r="Q219" s="48"/>
      <c r="R219" s="48"/>
      <c r="S219" s="49"/>
      <c r="T219" s="48"/>
      <c r="U219" s="49"/>
      <c r="V219" s="48"/>
      <c r="W219" s="49"/>
      <c r="X219" s="48"/>
      <c r="Y219" s="49"/>
      <c r="Z219" s="48"/>
      <c r="AA219" s="49"/>
      <c r="AB219" s="48"/>
      <c r="AC219" s="49"/>
      <c r="AD219" s="48"/>
      <c r="AE219" s="49"/>
      <c r="AF219" s="48"/>
      <c r="AG219" s="49"/>
      <c r="AH219" s="48"/>
      <c r="AI219" s="48"/>
      <c r="AJ219" s="48"/>
    </row>
    <row r="220" spans="1:36" ht="45">
      <c r="A220" s="205">
        <v>163</v>
      </c>
      <c r="B220" s="223" t="s">
        <v>237</v>
      </c>
      <c r="C220" s="206" t="s">
        <v>42</v>
      </c>
      <c r="D220" s="205"/>
      <c r="E220" s="45"/>
      <c r="F220" s="45"/>
      <c r="G220" s="45"/>
      <c r="H220" s="45"/>
      <c r="I220" s="45">
        <v>3000</v>
      </c>
      <c r="J220" s="45"/>
      <c r="K220" s="45"/>
      <c r="L220" s="45"/>
      <c r="M220" s="120"/>
      <c r="N220" s="47"/>
      <c r="O220" s="46"/>
      <c r="P220" s="46"/>
      <c r="Q220" s="48"/>
      <c r="R220" s="48"/>
      <c r="S220" s="49"/>
      <c r="T220" s="48"/>
      <c r="U220" s="49"/>
      <c r="V220" s="48"/>
      <c r="W220" s="49"/>
      <c r="X220" s="48"/>
      <c r="Y220" s="49"/>
      <c r="Z220" s="48"/>
      <c r="AA220" s="49"/>
      <c r="AB220" s="48"/>
      <c r="AC220" s="49"/>
      <c r="AD220" s="48"/>
      <c r="AE220" s="49"/>
      <c r="AF220" s="48"/>
      <c r="AG220" s="49"/>
      <c r="AH220" s="48"/>
      <c r="AI220" s="48"/>
      <c r="AJ220" s="48"/>
    </row>
    <row r="221" spans="1:36" ht="45">
      <c r="A221" s="205">
        <v>164</v>
      </c>
      <c r="B221" s="223" t="s">
        <v>238</v>
      </c>
      <c r="C221" s="206" t="s">
        <v>42</v>
      </c>
      <c r="D221" s="205"/>
      <c r="E221" s="45"/>
      <c r="F221" s="45"/>
      <c r="G221" s="45"/>
      <c r="H221" s="45"/>
      <c r="I221" s="45">
        <v>3000</v>
      </c>
      <c r="J221" s="45"/>
      <c r="K221" s="45"/>
      <c r="L221" s="45"/>
      <c r="M221" s="120"/>
      <c r="N221" s="47"/>
      <c r="O221" s="46"/>
      <c r="P221" s="46"/>
      <c r="Q221" s="48"/>
      <c r="R221" s="48"/>
      <c r="S221" s="49"/>
      <c r="T221" s="48"/>
      <c r="U221" s="49"/>
      <c r="V221" s="48"/>
      <c r="W221" s="49"/>
      <c r="X221" s="48"/>
      <c r="Y221" s="49"/>
      <c r="Z221" s="48"/>
      <c r="AA221" s="49"/>
      <c r="AB221" s="48"/>
      <c r="AC221" s="49"/>
      <c r="AD221" s="48"/>
      <c r="AE221" s="49"/>
      <c r="AF221" s="48"/>
      <c r="AG221" s="49"/>
      <c r="AH221" s="48"/>
      <c r="AI221" s="48"/>
      <c r="AJ221" s="48"/>
    </row>
    <row r="222" spans="1:36" ht="30">
      <c r="A222" s="51"/>
      <c r="B222" s="217" t="s">
        <v>239</v>
      </c>
      <c r="C222" s="218"/>
      <c r="D222" s="205"/>
      <c r="E222" s="45"/>
      <c r="F222" s="45"/>
      <c r="G222" s="45"/>
      <c r="H222" s="45"/>
      <c r="I222" s="45"/>
      <c r="J222" s="45"/>
      <c r="K222" s="45"/>
      <c r="L222" s="45"/>
      <c r="M222" s="120"/>
      <c r="N222" s="47"/>
      <c r="O222" s="46"/>
      <c r="P222" s="46"/>
      <c r="Q222" s="48"/>
      <c r="R222" s="48"/>
      <c r="S222" s="49"/>
      <c r="T222" s="48"/>
      <c r="U222" s="49"/>
      <c r="V222" s="48"/>
      <c r="W222" s="49"/>
      <c r="X222" s="48"/>
      <c r="Y222" s="49"/>
      <c r="Z222" s="48"/>
      <c r="AA222" s="49"/>
      <c r="AB222" s="48"/>
      <c r="AC222" s="49"/>
      <c r="AD222" s="48"/>
      <c r="AE222" s="49"/>
      <c r="AF222" s="48"/>
      <c r="AG222" s="49"/>
      <c r="AH222" s="48"/>
      <c r="AI222" s="48"/>
      <c r="AJ222" s="48"/>
    </row>
    <row r="223" spans="1:36" ht="195">
      <c r="A223" s="158"/>
      <c r="B223" s="208" t="s">
        <v>240</v>
      </c>
      <c r="C223" s="209"/>
      <c r="D223" s="207"/>
      <c r="E223" s="210"/>
      <c r="F223" s="210"/>
      <c r="G223" s="210"/>
      <c r="H223" s="210"/>
      <c r="I223" s="210"/>
      <c r="J223" s="210"/>
      <c r="K223" s="210"/>
      <c r="L223" s="210"/>
      <c r="M223" s="211">
        <v>50</v>
      </c>
      <c r="N223" s="214">
        <v>1061126000</v>
      </c>
      <c r="O223" s="213">
        <f>M223*N223/100000</f>
        <v>530563</v>
      </c>
      <c r="P223" s="213">
        <f>O223/10611</f>
        <v>50.001225143718784</v>
      </c>
      <c r="Q223" s="162"/>
      <c r="R223" s="162"/>
      <c r="S223" s="163"/>
      <c r="T223" s="162"/>
      <c r="U223" s="163"/>
      <c r="V223" s="162"/>
      <c r="W223" s="163"/>
      <c r="X223" s="162"/>
      <c r="Y223" s="163"/>
      <c r="Z223" s="162"/>
      <c r="AA223" s="163"/>
      <c r="AB223" s="162"/>
      <c r="AC223" s="163"/>
      <c r="AD223" s="162"/>
      <c r="AE223" s="163"/>
      <c r="AF223" s="162"/>
      <c r="AG223" s="163"/>
      <c r="AH223" s="162"/>
      <c r="AI223" s="162"/>
      <c r="AJ223" s="162"/>
    </row>
    <row r="224" spans="1:36" ht="75">
      <c r="A224" s="260">
        <v>165</v>
      </c>
      <c r="B224" s="238" t="s">
        <v>241</v>
      </c>
      <c r="C224" s="261"/>
      <c r="D224" s="260"/>
      <c r="E224" s="229"/>
      <c r="F224" s="229"/>
      <c r="G224" s="229"/>
      <c r="H224" s="229"/>
      <c r="I224" s="229"/>
      <c r="J224" s="229"/>
      <c r="K224" s="229"/>
      <c r="L224" s="229"/>
      <c r="M224" s="230"/>
      <c r="N224" s="231"/>
      <c r="O224" s="232"/>
      <c r="P224" s="232"/>
      <c r="Q224" s="233"/>
      <c r="R224" s="233"/>
      <c r="S224" s="234"/>
      <c r="T224" s="233"/>
      <c r="U224" s="234"/>
      <c r="V224" s="233"/>
      <c r="W224" s="234"/>
      <c r="X224" s="233"/>
      <c r="Y224" s="234"/>
      <c r="Z224" s="233"/>
      <c r="AA224" s="234"/>
      <c r="AB224" s="233"/>
      <c r="AC224" s="234"/>
      <c r="AD224" s="233"/>
      <c r="AE224" s="234"/>
      <c r="AF224" s="233"/>
      <c r="AG224" s="234"/>
      <c r="AH224" s="233"/>
      <c r="AI224" s="233"/>
      <c r="AJ224" s="233"/>
    </row>
    <row r="225" spans="1:36" ht="60">
      <c r="A225" s="205">
        <v>166</v>
      </c>
      <c r="B225" s="185" t="s">
        <v>242</v>
      </c>
      <c r="C225" s="206"/>
      <c r="D225" s="205"/>
      <c r="E225" s="45">
        <f>1.6*60</f>
        <v>96</v>
      </c>
      <c r="F225" s="45"/>
      <c r="G225" s="45"/>
      <c r="H225" s="45">
        <v>100</v>
      </c>
      <c r="I225" s="45">
        <f>H225+E225</f>
        <v>196</v>
      </c>
      <c r="J225" s="45"/>
      <c r="K225" s="45"/>
      <c r="L225" s="45"/>
      <c r="M225" s="120"/>
      <c r="N225" s="47"/>
      <c r="O225" s="46"/>
      <c r="P225" s="46"/>
      <c r="Q225" s="48"/>
      <c r="R225" s="48"/>
      <c r="S225" s="49"/>
      <c r="T225" s="48"/>
      <c r="U225" s="49"/>
      <c r="V225" s="48"/>
      <c r="W225" s="49"/>
      <c r="X225" s="48"/>
      <c r="Y225" s="49"/>
      <c r="Z225" s="48"/>
      <c r="AA225" s="49"/>
      <c r="AB225" s="48"/>
      <c r="AC225" s="49"/>
      <c r="AD225" s="48"/>
      <c r="AE225" s="49"/>
      <c r="AF225" s="48"/>
      <c r="AG225" s="49"/>
      <c r="AH225" s="48"/>
      <c r="AI225" s="48"/>
      <c r="AJ225" s="48"/>
    </row>
    <row r="226" spans="1:8" ht="15">
      <c r="A226" s="207"/>
      <c r="C226" s="224"/>
      <c r="D226" s="224"/>
      <c r="E226" s="224"/>
      <c r="F226" s="224"/>
      <c r="G226" s="224"/>
      <c r="H226" s="224"/>
    </row>
    <row r="227" spans="3:8" ht="15">
      <c r="C227" s="224"/>
      <c r="D227" s="224"/>
      <c r="E227" s="224"/>
      <c r="F227" s="224"/>
      <c r="G227" s="224"/>
      <c r="H227" s="224"/>
    </row>
    <row r="228" spans="3:8" ht="15">
      <c r="C228" s="224"/>
      <c r="D228" s="224"/>
      <c r="E228" s="224"/>
      <c r="F228" s="224"/>
      <c r="G228" s="224"/>
      <c r="H228" s="224"/>
    </row>
    <row r="229" spans="3:8" ht="15">
      <c r="C229" s="224"/>
      <c r="D229" s="224"/>
      <c r="E229" s="224"/>
      <c r="F229" s="224"/>
      <c r="G229" s="224"/>
      <c r="H229" s="224"/>
    </row>
    <row r="230" spans="3:8" ht="15">
      <c r="C230" s="224"/>
      <c r="D230" s="224"/>
      <c r="E230" s="224"/>
      <c r="F230" s="224"/>
      <c r="G230" s="224"/>
      <c r="H230" s="224"/>
    </row>
    <row r="231" spans="3:8" ht="15">
      <c r="C231" s="224"/>
      <c r="D231" s="224"/>
      <c r="E231" s="224"/>
      <c r="F231" s="224"/>
      <c r="G231" s="224"/>
      <c r="H231" s="224"/>
    </row>
    <row r="232" spans="3:8" ht="15">
      <c r="C232" s="224"/>
      <c r="D232" s="224"/>
      <c r="E232" s="224"/>
      <c r="F232" s="224"/>
      <c r="G232" s="224"/>
      <c r="H232" s="224"/>
    </row>
    <row r="233" spans="3:8" ht="15">
      <c r="C233" s="224"/>
      <c r="D233" s="224"/>
      <c r="E233" s="224"/>
      <c r="F233" s="224"/>
      <c r="G233" s="224"/>
      <c r="H233" s="224"/>
    </row>
    <row r="234" spans="3:8" ht="15">
      <c r="C234" s="224"/>
      <c r="D234" s="224"/>
      <c r="E234" s="224"/>
      <c r="F234" s="224"/>
      <c r="G234" s="224"/>
      <c r="H234" s="224"/>
    </row>
    <row r="235" spans="3:8" ht="15">
      <c r="C235" s="224"/>
      <c r="D235" s="224"/>
      <c r="E235" s="224"/>
      <c r="F235" s="224"/>
      <c r="G235" s="224"/>
      <c r="H235" s="224"/>
    </row>
    <row r="236" spans="3:8" ht="15">
      <c r="C236" s="224"/>
      <c r="D236" s="224"/>
      <c r="E236" s="224"/>
      <c r="F236" s="224"/>
      <c r="G236" s="224"/>
      <c r="H236" s="224"/>
    </row>
    <row r="237" spans="3:8" ht="15">
      <c r="C237" s="224"/>
      <c r="D237" s="224"/>
      <c r="E237" s="224"/>
      <c r="F237" s="224"/>
      <c r="G237" s="224"/>
      <c r="H237" s="224"/>
    </row>
    <row r="238" spans="3:8" ht="15">
      <c r="C238" s="224"/>
      <c r="D238" s="224"/>
      <c r="E238" s="224"/>
      <c r="F238" s="224"/>
      <c r="G238" s="224"/>
      <c r="H238" s="224"/>
    </row>
    <row r="239" spans="3:8" ht="15">
      <c r="C239" s="224"/>
      <c r="D239" s="224"/>
      <c r="E239" s="224"/>
      <c r="F239" s="224"/>
      <c r="G239" s="224"/>
      <c r="H239" s="224"/>
    </row>
    <row r="240" spans="3:8" ht="15">
      <c r="C240" s="224"/>
      <c r="D240" s="224"/>
      <c r="E240" s="224"/>
      <c r="F240" s="224"/>
      <c r="G240" s="224"/>
      <c r="H240" s="224"/>
    </row>
    <row r="241" spans="3:8" ht="15">
      <c r="C241" s="224"/>
      <c r="D241" s="224"/>
      <c r="E241" s="224"/>
      <c r="F241" s="224"/>
      <c r="G241" s="224"/>
      <c r="H241" s="224"/>
    </row>
    <row r="242" spans="3:8" ht="15">
      <c r="C242" s="224"/>
      <c r="D242" s="224"/>
      <c r="E242" s="224"/>
      <c r="F242" s="224"/>
      <c r="G242" s="224"/>
      <c r="H242" s="224"/>
    </row>
    <row r="243" spans="3:8" ht="15">
      <c r="C243" s="224"/>
      <c r="D243" s="224"/>
      <c r="E243" s="224"/>
      <c r="F243" s="224"/>
      <c r="G243" s="224"/>
      <c r="H243" s="224"/>
    </row>
    <row r="244" spans="3:8" ht="15">
      <c r="C244" s="224"/>
      <c r="D244" s="224"/>
      <c r="E244" s="224"/>
      <c r="F244" s="224"/>
      <c r="G244" s="224"/>
      <c r="H244" s="224"/>
    </row>
    <row r="245" spans="3:8" ht="15">
      <c r="C245" s="224"/>
      <c r="D245" s="224"/>
      <c r="E245" s="224"/>
      <c r="F245" s="224"/>
      <c r="G245" s="224"/>
      <c r="H245" s="224"/>
    </row>
    <row r="246" spans="3:8" ht="15">
      <c r="C246" s="224"/>
      <c r="D246" s="224"/>
      <c r="E246" s="224"/>
      <c r="F246" s="224"/>
      <c r="G246" s="224"/>
      <c r="H246" s="224"/>
    </row>
    <row r="247" spans="3:8" ht="15">
      <c r="C247" s="224"/>
      <c r="D247" s="224"/>
      <c r="E247" s="224"/>
      <c r="F247" s="224"/>
      <c r="G247" s="224"/>
      <c r="H247" s="224"/>
    </row>
    <row r="248" spans="3:8" ht="15">
      <c r="C248" s="224"/>
      <c r="D248" s="224"/>
      <c r="E248" s="224"/>
      <c r="F248" s="224"/>
      <c r="G248" s="224"/>
      <c r="H248" s="224"/>
    </row>
    <row r="249" spans="3:8" ht="15">
      <c r="C249" s="224"/>
      <c r="D249" s="224"/>
      <c r="E249" s="224"/>
      <c r="F249" s="224"/>
      <c r="G249" s="224"/>
      <c r="H249" s="224"/>
    </row>
    <row r="250" spans="3:8" ht="15">
      <c r="C250" s="224"/>
      <c r="D250" s="224"/>
      <c r="E250" s="224"/>
      <c r="F250" s="224"/>
      <c r="G250" s="224"/>
      <c r="H250" s="224"/>
    </row>
    <row r="251" spans="3:8" ht="15">
      <c r="C251" s="224"/>
      <c r="D251" s="224"/>
      <c r="E251" s="224"/>
      <c r="F251" s="224"/>
      <c r="G251" s="224"/>
      <c r="H251" s="224"/>
    </row>
    <row r="252" spans="3:8" ht="15">
      <c r="C252" s="224"/>
      <c r="D252" s="224"/>
      <c r="E252" s="224"/>
      <c r="F252" s="224"/>
      <c r="G252" s="224"/>
      <c r="H252" s="224"/>
    </row>
    <row r="253" spans="3:8" ht="15">
      <c r="C253" s="224"/>
      <c r="D253" s="224"/>
      <c r="E253" s="224"/>
      <c r="F253" s="224"/>
      <c r="G253" s="224"/>
      <c r="H253" s="224"/>
    </row>
    <row r="254" spans="3:8" ht="15">
      <c r="C254" s="224"/>
      <c r="D254" s="224"/>
      <c r="E254" s="224"/>
      <c r="F254" s="224"/>
      <c r="G254" s="224"/>
      <c r="H254" s="224"/>
    </row>
    <row r="255" spans="3:8" ht="15">
      <c r="C255" s="224"/>
      <c r="D255" s="224"/>
      <c r="E255" s="224"/>
      <c r="F255" s="224"/>
      <c r="G255" s="224"/>
      <c r="H255" s="224"/>
    </row>
    <row r="256" spans="3:8" ht="15">
      <c r="C256" s="224"/>
      <c r="D256" s="224"/>
      <c r="E256" s="224"/>
      <c r="F256" s="224"/>
      <c r="G256" s="224"/>
      <c r="H256" s="224"/>
    </row>
    <row r="257" spans="3:8" ht="15">
      <c r="C257" s="224"/>
      <c r="D257" s="224"/>
      <c r="E257" s="224"/>
      <c r="F257" s="224"/>
      <c r="G257" s="224"/>
      <c r="H257" s="224"/>
    </row>
    <row r="258" spans="3:8" ht="15">
      <c r="C258" s="224"/>
      <c r="D258" s="224"/>
      <c r="E258" s="224"/>
      <c r="F258" s="224"/>
      <c r="G258" s="224"/>
      <c r="H258" s="224"/>
    </row>
    <row r="259" spans="3:8" ht="15">
      <c r="C259" s="224"/>
      <c r="D259" s="224"/>
      <c r="E259" s="224"/>
      <c r="F259" s="224"/>
      <c r="G259" s="224"/>
      <c r="H259" s="224"/>
    </row>
    <row r="260" spans="3:8" ht="15">
      <c r="C260" s="224"/>
      <c r="D260" s="224"/>
      <c r="E260" s="224"/>
      <c r="F260" s="224"/>
      <c r="G260" s="224"/>
      <c r="H260" s="224"/>
    </row>
    <row r="261" spans="3:8" ht="15">
      <c r="C261" s="224"/>
      <c r="D261" s="224"/>
      <c r="E261" s="224"/>
      <c r="F261" s="224"/>
      <c r="G261" s="224"/>
      <c r="H261" s="224"/>
    </row>
    <row r="262" spans="3:8" ht="15">
      <c r="C262" s="224"/>
      <c r="D262" s="224"/>
      <c r="E262" s="224"/>
      <c r="F262" s="224"/>
      <c r="G262" s="224"/>
      <c r="H262" s="224"/>
    </row>
    <row r="263" spans="3:8" ht="15">
      <c r="C263" s="224"/>
      <c r="D263" s="224"/>
      <c r="E263" s="224"/>
      <c r="F263" s="224"/>
      <c r="G263" s="224"/>
      <c r="H263" s="224"/>
    </row>
    <row r="264" spans="3:8" ht="15">
      <c r="C264" s="224"/>
      <c r="D264" s="224"/>
      <c r="E264" s="224"/>
      <c r="F264" s="224"/>
      <c r="G264" s="224"/>
      <c r="H264" s="224"/>
    </row>
    <row r="265" spans="3:8" ht="15">
      <c r="C265" s="224"/>
      <c r="D265" s="224"/>
      <c r="E265" s="224"/>
      <c r="F265" s="224"/>
      <c r="G265" s="224"/>
      <c r="H265" s="224"/>
    </row>
    <row r="266" spans="3:8" ht="15">
      <c r="C266" s="224"/>
      <c r="D266" s="224"/>
      <c r="E266" s="224"/>
      <c r="F266" s="224"/>
      <c r="G266" s="224"/>
      <c r="H266" s="224"/>
    </row>
    <row r="267" spans="3:8" ht="15">
      <c r="C267" s="224"/>
      <c r="D267" s="224"/>
      <c r="E267" s="224"/>
      <c r="F267" s="224"/>
      <c r="G267" s="224"/>
      <c r="H267" s="224"/>
    </row>
    <row r="268" spans="3:8" ht="15">
      <c r="C268" s="224"/>
      <c r="D268" s="224"/>
      <c r="E268" s="224"/>
      <c r="F268" s="224"/>
      <c r="G268" s="224"/>
      <c r="H268" s="224"/>
    </row>
    <row r="269" spans="3:8" ht="15">
      <c r="C269" s="224"/>
      <c r="D269" s="224"/>
      <c r="E269" s="224"/>
      <c r="F269" s="224"/>
      <c r="G269" s="224"/>
      <c r="H269" s="224"/>
    </row>
    <row r="270" spans="3:8" ht="15">
      <c r="C270" s="224"/>
      <c r="D270" s="224"/>
      <c r="E270" s="224"/>
      <c r="F270" s="224"/>
      <c r="G270" s="224"/>
      <c r="H270" s="224"/>
    </row>
    <row r="271" spans="3:8" ht="15">
      <c r="C271" s="224"/>
      <c r="D271" s="224"/>
      <c r="E271" s="224"/>
      <c r="F271" s="224"/>
      <c r="G271" s="224"/>
      <c r="H271" s="224"/>
    </row>
  </sheetData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8"/>
  <sheetViews>
    <sheetView workbookViewId="0" topLeftCell="A1">
      <selection activeCell="B5" sqref="B5:B8"/>
    </sheetView>
  </sheetViews>
  <sheetFormatPr defaultColWidth="9.140625" defaultRowHeight="15"/>
  <cols>
    <col min="2" max="2" width="28.7109375" style="0" customWidth="1"/>
  </cols>
  <sheetData>
    <row r="5" ht="15">
      <c r="B5" s="330" t="s">
        <v>244</v>
      </c>
    </row>
    <row r="6" ht="15">
      <c r="B6" s="318" t="s">
        <v>245</v>
      </c>
    </row>
    <row r="7" ht="15">
      <c r="B7" s="318" t="s">
        <v>246</v>
      </c>
    </row>
    <row r="8" ht="15">
      <c r="B8" s="164" t="s">
        <v>268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Indranil M</dc:creator>
  <cp:keywords/>
  <dc:description/>
  <cp:lastModifiedBy>Dahal, Dr. Atul - WRO NEP</cp:lastModifiedBy>
  <dcterms:created xsi:type="dcterms:W3CDTF">2014-02-11T12:29:34Z</dcterms:created>
  <dcterms:modified xsi:type="dcterms:W3CDTF">2014-02-13T08:56:53Z</dcterms:modified>
  <cp:category/>
  <cp:version/>
  <cp:contentType/>
  <cp:contentStatus/>
</cp:coreProperties>
</file>